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26a9230c60c51ab/Desktop/WWD/"/>
    </mc:Choice>
  </mc:AlternateContent>
  <xr:revisionPtr revIDLastSave="436" documentId="8_{200CDF45-1E48-4467-B61F-1AD10A2EAF3F}" xr6:coauthVersionLast="47" xr6:coauthVersionMax="47" xr10:uidLastSave="{9C448B93-273B-4BEA-81F8-8E02EDEA5693}"/>
  <bookViews>
    <workbookView xWindow="-120" yWindow="-120" windowWidth="29040" windowHeight="15840" xr2:uid="{00000000-000D-0000-FFFF-FFFF00000000}"/>
  </bookViews>
  <sheets>
    <sheet name="Cover" sheetId="22" r:id="rId1"/>
    <sheet name="Model" sheetId="2" r:id="rId2"/>
    <sheet name="Valuation" sheetId="17" r:id="rId3"/>
    <sheet name="TSM" sheetId="19" r:id="rId4"/>
    <sheet name="vs. Consensus" sheetId="21" r:id="rId5"/>
    <sheet name="WACC Analysis&gt;&gt;" sheetId="25" r:id="rId6"/>
    <sheet name="WACC" sheetId="26" r:id="rId7"/>
    <sheet name="Beta Determination" sheetId="27" r:id="rId8"/>
    <sheet name="Catalyst Calendar" sheetId="28" r:id="rId9"/>
    <sheet name="Other Information&gt;&gt;" sheetId="30" r:id="rId10"/>
    <sheet name="Air India Scenario" sheetId="23" r:id="rId11"/>
    <sheet name="Historical deliveries - Airbus" sheetId="9" r:id="rId12"/>
    <sheet name="Airbus Deliveries 2022" sheetId="8" r:id="rId13"/>
    <sheet name="Boeing Historical Deliveries" sheetId="7" r:id="rId14"/>
    <sheet name="F35 lots" sheetId="10" r:id="rId15"/>
    <sheet name="Company Financials&gt;&gt;" sheetId="29" r:id="rId16"/>
    <sheet name="Sheet (3)" sheetId="15" r:id="rId17"/>
    <sheet name="Sheet (4)" sheetId="16" r:id="rId18"/>
    <sheet name="Sheet (2)" sheetId="14" r:id="rId19"/>
    <sheet name="Sheet" sheetId="13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Adj_EPS">'[1]Main Worksheet'!$A$98:$AY$98</definedName>
    <definedName name="Adjusted_Earnings_Per_Share__attributable_to_Leidos">'[2]Main Worksheet'!$A$138:$AQ$138</definedName>
    <definedName name="Adjusted_EBITDA">'[3]Main Worksheet'!$A$60:$AY$60</definedName>
    <definedName name="Adjusted_EBITDA_Margin">'[3]Main Worksheet'!$A$61:$AY$61</definedName>
    <definedName name="Adjusted_EPS">'[4]Main Worksheet'!$A$124:$BP$124</definedName>
    <definedName name="AEBIT">'[1]Main Worksheet'!$A$60:$AY$60</definedName>
    <definedName name="AEBIT_margin">'[1]Main Worksheet'!$A$61:$AY$61</definedName>
    <definedName name="AEBITDA">'[1]Main Worksheet'!$A$77:$AY$77</definedName>
    <definedName name="AEBITDA_margin">'[1]Main Worksheet'!$A$80:$AY$80</definedName>
    <definedName name="Aerospace">#REF!</definedName>
    <definedName name="Capex">#REF!</definedName>
    <definedName name="Cash">'[4]Main Worksheet'!$A$284:$FJ$284</definedName>
    <definedName name="Cash_EPS__excl._intangible_amortization">'[3]Main Worksheet'!$A$91:$AY$91</definedName>
    <definedName name="Cash_Net_Income__excl._intangible_amortization">'[3]Main Worksheet'!$A$88:$AY$88</definedName>
    <definedName name="Cash_used__provided__by_MARPA">'[3]Main Worksheet'!$A$137:$AY$137</definedName>
    <definedName name="CFO">'[1]Main Worksheet'!$A$124:$AY$124</definedName>
    <definedName name="Combat_Systems">#REF!</definedName>
    <definedName name="Core_EPS">[5]Main!$A$88:$AH$88</definedName>
    <definedName name="Core_Operating_Income">[5]Main!$A$54:$AD$55</definedName>
    <definedName name="date">#REF!</definedName>
    <definedName name="Diluted_EPS">#REF!</definedName>
    <definedName name="diluted_shares">'[1]Main Worksheet'!$A$46:$AY$46</definedName>
    <definedName name="Diluted_Shares_Outstanding">#REF!</definedName>
    <definedName name="Div_Per_Share">[5]Main!$A$90:$AJ$90</definedName>
    <definedName name="Dividends_per_Share">#REF!</definedName>
    <definedName name="EBIT_Margin">#REF!</definedName>
    <definedName name="EBITDA_as_Defined">'[4]Main Worksheet'!$A$145:$BO$145</definedName>
    <definedName name="EPS___Diluted">'[2]Main Worksheet'!$A$80:$AQ$80</definedName>
    <definedName name="FCF">'[1]Main Worksheet'!$A$152:$AY$152</definedName>
    <definedName name="FCF_Net_Income">#REF!</definedName>
    <definedName name="Free_Cash_Flow">#REF!</definedName>
    <definedName name="Free_Cash_Flow__ex._MARPA">'[3]Main Worksheet'!$A$138:$AY$138</definedName>
    <definedName name="Free_Cash_Flow_per_Share">#REF!</definedName>
    <definedName name="FY">'[1]Main Worksheet'!$A$2:$AY$2</definedName>
    <definedName name="GAAP_EPS">'[1]Main Worksheet'!$A$42:$AY$42</definedName>
    <definedName name="gross_debt">'[1]Main Worksheet'!$A$222:$AY$222</definedName>
    <definedName name="Gross_Profit">'[1]Main Worksheet'!$A$19:$AY$19</definedName>
    <definedName name="Gulfstream_Deliveries">#REF!</definedName>
    <definedName name="Leverage__Net_Debt_EBITDA">#REF!</definedName>
    <definedName name="Leverage_Data">[5]Main!$A$244:$AQ$250</definedName>
    <definedName name="Marine">#REF!</definedName>
    <definedName name="Net_Debt">#REF!</definedName>
    <definedName name="Net_Income">#REF!</definedName>
    <definedName name="net_leverage">'[1]Main Worksheet'!$A$229:$AY$229</definedName>
    <definedName name="Net_sales">'[1]Main Worksheet'!$A$8:$AY$8</definedName>
    <definedName name="Operating_cash_flow">#REF!</definedName>
    <definedName name="Operating_CF">'[4]Main Worksheet'!$A$178:$BH$178</definedName>
    <definedName name="Operating_income">#REF!</definedName>
    <definedName name="Operating_Income___GAAP">'[3]Main Worksheet'!$A$26:$AY$26</definedName>
    <definedName name="Operating_Margin___GAAP">'[3]Main Worksheet'!$A$27:$AY$27</definedName>
    <definedName name="Period_End">[5]Main!$A$4:$AQ$5</definedName>
    <definedName name="Period_Ended">'[1]Main Worksheet'!$A$3:$AY$3</definedName>
    <definedName name="Reported_Sales">'[2]Main Worksheet'!$A$11:$AQ$11</definedName>
    <definedName name="Rev_ex_billable">'[1]Main Worksheet'!$A$50:$AY$50</definedName>
    <definedName name="Sales">#REF!</definedName>
    <definedName name="Segment_EBIT">[5]Main!$A$29:$AB$40</definedName>
    <definedName name="Segment_Sales">[5]Main!$A$7:$AB$13</definedName>
    <definedName name="Sharecount">'[2]Main Worksheet'!$C$86:$AQ$86</definedName>
    <definedName name="Technologies">#REF!</definedName>
    <definedName name="Total_Adjusted_Operating_Income">'[2]Main Worksheet'!$A$112:$AQ$112</definedName>
    <definedName name="Total_Adjusted_Operating_Income_Margin">'[2]Main Worksheet'!$A$113:$AQ$113</definedName>
    <definedName name="Total_Backlog">'[3]Main Worksheet'!$A$209:$AY$209</definedName>
    <definedName name="total_cash">'[1]Main Worksheet'!$A$223:$AY$223</definedName>
    <definedName name="Total_Debt">#REF!</definedName>
    <definedName name="Total_Headcount">'[3]Main Worksheet'!$A$215:$AY$215</definedName>
    <definedName name="TXT_Adj_Earnings">'[6]Main Worksheet'!$A$195:$AS$195</definedName>
    <definedName name="TXT_Adj_EBIT">'[6]Main Worksheet'!$A$160:$AS$160</definedName>
    <definedName name="TXT_Adj_EBIT_Margin">'[6]Main Worksheet'!$A$161:$AS$161</definedName>
    <definedName name="TXT_Adj_EBITDA">'[6]Main Worksheet'!$A$208:$AS$209</definedName>
    <definedName name="TXT_Adj_EPS">'[6]Main Worksheet'!$A$198:$AS$198</definedName>
    <definedName name="TXT_Bizjet_Delivs">'[6]Main Worksheet'!$A$16:$AS$16</definedName>
    <definedName name="TXT_Cash_Flow">'[6]Main Worksheet'!$A$263:$AS$266</definedName>
    <definedName name="TXT_FACTSET_EBITDA">'[6]Main Worksheet'!$A$211:$AS$212</definedName>
    <definedName name="TXT_FACTSET_EPS">'[6]Main Worksheet'!$A$200:$AS$201</definedName>
    <definedName name="TXT_FACTSET_FCF">'[6]Main Worksheet'!$A$268:$AS$269</definedName>
    <definedName name="TXT_FACTSET_SALES">'[6]Main Worksheet'!$A$122:$AS$123</definedName>
    <definedName name="TXT_Net_Debt">'[6]Main Worksheet'!$A$367:$AS$367</definedName>
    <definedName name="TXT_Net_Leverage">'[6]Main Worksheet'!$A$370:$AS$370</definedName>
    <definedName name="TXT_Period_End">'[6]Main Worksheet'!$A$2:$AS$3</definedName>
    <definedName name="TXT_Sales">'[6]Main Worksheet'!$A$120:$AS$120</definedName>
    <definedName name="TXT_Sales_Growth">'[6]Main Worksheet'!$A$131:$AS$131</definedName>
    <definedName name="Weighted_Average_Diluted_Shares_Outstanding">'[3]Main Worksheet'!$A$47:$AY$47</definedName>
    <definedName name="Year">#REF!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90" i="2" l="1"/>
  <c r="R290" i="2"/>
  <c r="P290" i="2"/>
  <c r="O290" i="2"/>
  <c r="N290" i="2"/>
  <c r="M290" i="2"/>
  <c r="K290" i="2"/>
  <c r="Y164" i="2"/>
  <c r="Z164" i="2" l="1"/>
  <c r="AB164" i="2" s="1"/>
  <c r="L43" i="27"/>
  <c r="K43" i="27"/>
  <c r="J43" i="27"/>
  <c r="I43" i="27"/>
  <c r="H43" i="27"/>
  <c r="G43" i="27"/>
  <c r="F43" i="27"/>
  <c r="L42" i="27"/>
  <c r="K42" i="27"/>
  <c r="J42" i="27"/>
  <c r="I42" i="27"/>
  <c r="H42" i="27"/>
  <c r="G42" i="27"/>
  <c r="F42" i="27"/>
  <c r="L19" i="27"/>
  <c r="K19" i="27"/>
  <c r="J19" i="27"/>
  <c r="I19" i="27"/>
  <c r="H19" i="27"/>
  <c r="G19" i="27"/>
  <c r="F19" i="27"/>
  <c r="L18" i="27"/>
  <c r="K18" i="27"/>
  <c r="J18" i="27"/>
  <c r="I18" i="27"/>
  <c r="H18" i="27"/>
  <c r="G18" i="27"/>
  <c r="F18" i="27"/>
  <c r="J10" i="27"/>
  <c r="M16" i="27"/>
  <c r="N16" i="27"/>
  <c r="O16" i="27"/>
  <c r="M17" i="27"/>
  <c r="N17" i="27"/>
  <c r="O17" i="27"/>
  <c r="K16" i="27"/>
  <c r="L16" i="27"/>
  <c r="K17" i="27"/>
  <c r="L17" i="27"/>
  <c r="J13" i="27"/>
  <c r="I10" i="27"/>
  <c r="H32" i="27"/>
  <c r="G32" i="27"/>
  <c r="F32" i="27"/>
  <c r="H31" i="27"/>
  <c r="G31" i="27"/>
  <c r="F31" i="27"/>
  <c r="L28" i="27"/>
  <c r="G18" i="26"/>
  <c r="H12" i="26"/>
  <c r="C83" i="17"/>
  <c r="C84" i="17" s="1"/>
  <c r="C81" i="17"/>
  <c r="C80" i="17" s="1"/>
  <c r="G79" i="17"/>
  <c r="H79" i="17" s="1"/>
  <c r="E79" i="17"/>
  <c r="D79" i="17" s="1"/>
  <c r="X149" i="2"/>
  <c r="Y149" i="2" s="1"/>
  <c r="Z149" i="2" s="1"/>
  <c r="X146" i="2"/>
  <c r="Y146" i="2" s="1"/>
  <c r="Z146" i="2" s="1"/>
  <c r="G69" i="17"/>
  <c r="H69" i="17" s="1"/>
  <c r="E69" i="17"/>
  <c r="D69" i="17" s="1"/>
  <c r="C73" i="17"/>
  <c r="C74" i="17" s="1"/>
  <c r="C71" i="17"/>
  <c r="C70" i="17" s="1"/>
  <c r="O33" i="23"/>
  <c r="O32" i="23"/>
  <c r="O34" i="23" s="1"/>
  <c r="C16" i="23"/>
  <c r="C23" i="23" s="1"/>
  <c r="C15" i="23"/>
  <c r="C22" i="23" s="1"/>
  <c r="C13" i="23"/>
  <c r="C20" i="23" s="1"/>
  <c r="C14" i="23"/>
  <c r="C21" i="23" s="1"/>
  <c r="C12" i="23"/>
  <c r="C19" i="23" s="1"/>
  <c r="D13" i="21"/>
  <c r="C13" i="21"/>
  <c r="D10" i="21"/>
  <c r="C10" i="21"/>
  <c r="A2" i="2"/>
  <c r="Z112" i="2"/>
  <c r="AE112" i="2" s="1"/>
  <c r="Y112" i="2"/>
  <c r="AD112" i="2" s="1"/>
  <c r="X112" i="2"/>
  <c r="AC112" i="2" s="1"/>
  <c r="Z110" i="2"/>
  <c r="AE110" i="2" s="1"/>
  <c r="Y110" i="2"/>
  <c r="AD110" i="2" s="1"/>
  <c r="X110" i="2"/>
  <c r="AC110" i="2" s="1"/>
  <c r="AG15" i="2"/>
  <c r="AB15" i="2"/>
  <c r="O131" i="2"/>
  <c r="N131" i="2"/>
  <c r="M131" i="2"/>
  <c r="J131" i="2"/>
  <c r="I131" i="2"/>
  <c r="H131" i="2"/>
  <c r="T130" i="2"/>
  <c r="S130" i="2"/>
  <c r="R130" i="2"/>
  <c r="O130" i="2"/>
  <c r="N130" i="2"/>
  <c r="M130" i="2"/>
  <c r="J130" i="2"/>
  <c r="I130" i="2"/>
  <c r="H130" i="2"/>
  <c r="T129" i="2"/>
  <c r="S129" i="2"/>
  <c r="R129" i="2"/>
  <c r="O129" i="2"/>
  <c r="N129" i="2"/>
  <c r="M129" i="2"/>
  <c r="J129" i="2"/>
  <c r="I129" i="2"/>
  <c r="H129" i="2"/>
  <c r="H124" i="2"/>
  <c r="I124" i="2"/>
  <c r="M124" i="2"/>
  <c r="N124" i="2"/>
  <c r="O124" i="2"/>
  <c r="R124" i="2"/>
  <c r="S124" i="2"/>
  <c r="T124" i="2"/>
  <c r="H125" i="2"/>
  <c r="I125" i="2"/>
  <c r="J125" i="2"/>
  <c r="M125" i="2"/>
  <c r="N125" i="2"/>
  <c r="O125" i="2"/>
  <c r="R125" i="2"/>
  <c r="S125" i="2"/>
  <c r="T125" i="2"/>
  <c r="H126" i="2"/>
  <c r="I126" i="2"/>
  <c r="J126" i="2"/>
  <c r="M126" i="2"/>
  <c r="N126" i="2"/>
  <c r="O126" i="2"/>
  <c r="R126" i="2"/>
  <c r="S126" i="2"/>
  <c r="T126" i="2"/>
  <c r="T123" i="2"/>
  <c r="S123" i="2"/>
  <c r="R123" i="2"/>
  <c r="O123" i="2"/>
  <c r="N123" i="2"/>
  <c r="M123" i="2"/>
  <c r="I123" i="2"/>
  <c r="H123" i="2"/>
  <c r="C141" i="2"/>
  <c r="C143" i="2" s="1"/>
  <c r="G277" i="2"/>
  <c r="G276" i="2"/>
  <c r="G269" i="2"/>
  <c r="G267" i="2"/>
  <c r="G266" i="2"/>
  <c r="G265" i="2"/>
  <c r="G264" i="2"/>
  <c r="G263" i="2"/>
  <c r="G262" i="2"/>
  <c r="G258" i="2"/>
  <c r="G257" i="2"/>
  <c r="G256" i="2"/>
  <c r="G255" i="2"/>
  <c r="G254" i="2"/>
  <c r="G282" i="2" s="1"/>
  <c r="G250" i="2"/>
  <c r="G249" i="2"/>
  <c r="G248" i="2"/>
  <c r="G247" i="2"/>
  <c r="G246" i="2"/>
  <c r="G245" i="2"/>
  <c r="G244" i="2"/>
  <c r="G243" i="2"/>
  <c r="G242" i="2"/>
  <c r="G239" i="2"/>
  <c r="G238" i="2"/>
  <c r="G237" i="2"/>
  <c r="G236" i="2"/>
  <c r="G235" i="2"/>
  <c r="G234" i="2"/>
  <c r="G233" i="2"/>
  <c r="G274" i="2" s="1"/>
  <c r="G230" i="2"/>
  <c r="G212" i="2"/>
  <c r="G211" i="2"/>
  <c r="G209" i="2"/>
  <c r="G208" i="2"/>
  <c r="G207" i="2"/>
  <c r="G206" i="2"/>
  <c r="G205" i="2"/>
  <c r="G200" i="2"/>
  <c r="G199" i="2"/>
  <c r="G198" i="2"/>
  <c r="G195" i="2"/>
  <c r="G194" i="2"/>
  <c r="G193" i="2"/>
  <c r="G192" i="2"/>
  <c r="G187" i="2"/>
  <c r="G186" i="2"/>
  <c r="G185" i="2"/>
  <c r="G184" i="2"/>
  <c r="G183" i="2"/>
  <c r="G180" i="2"/>
  <c r="G179" i="2"/>
  <c r="G178" i="2"/>
  <c r="G177" i="2"/>
  <c r="G176" i="2"/>
  <c r="G155" i="2"/>
  <c r="G51" i="2"/>
  <c r="G50" i="2"/>
  <c r="G49" i="2"/>
  <c r="G47" i="2"/>
  <c r="G45" i="2"/>
  <c r="G40" i="2"/>
  <c r="G37" i="2"/>
  <c r="G36" i="2"/>
  <c r="G32" i="2"/>
  <c r="G31" i="2"/>
  <c r="D141" i="2"/>
  <c r="D143" i="2" s="1"/>
  <c r="F142" i="2"/>
  <c r="G142" i="2" s="1"/>
  <c r="F140" i="2"/>
  <c r="G140" i="2" s="1"/>
  <c r="F139" i="2"/>
  <c r="G139" i="2" s="1"/>
  <c r="F138" i="2"/>
  <c r="G138" i="2" s="1"/>
  <c r="E141" i="2"/>
  <c r="E143" i="2" s="1"/>
  <c r="E110" i="2"/>
  <c r="J124" i="2" s="1"/>
  <c r="E109" i="2"/>
  <c r="E118" i="2"/>
  <c r="E148" i="2" s="1"/>
  <c r="D118" i="2"/>
  <c r="D148" i="2" s="1"/>
  <c r="C118" i="2"/>
  <c r="C148" i="2" s="1"/>
  <c r="D113" i="2"/>
  <c r="C113" i="2"/>
  <c r="C145" i="2" s="1"/>
  <c r="F117" i="2"/>
  <c r="G117" i="2" s="1"/>
  <c r="F116" i="2"/>
  <c r="G116" i="2" s="1"/>
  <c r="F115" i="2"/>
  <c r="G115" i="2" s="1"/>
  <c r="F112" i="2"/>
  <c r="G112" i="2" s="1"/>
  <c r="F111" i="2"/>
  <c r="G111" i="2" s="1"/>
  <c r="F100" i="2"/>
  <c r="E100" i="2"/>
  <c r="D100" i="2"/>
  <c r="C100" i="2"/>
  <c r="F99" i="2"/>
  <c r="E99" i="2"/>
  <c r="D99" i="2"/>
  <c r="C99" i="2"/>
  <c r="F98" i="2"/>
  <c r="E98" i="2"/>
  <c r="D98" i="2"/>
  <c r="C98" i="2"/>
  <c r="F96" i="2"/>
  <c r="E96" i="2"/>
  <c r="D96" i="2"/>
  <c r="C96" i="2"/>
  <c r="F94" i="2"/>
  <c r="E94" i="2"/>
  <c r="D94" i="2"/>
  <c r="C94" i="2"/>
  <c r="F85" i="2"/>
  <c r="E85" i="2"/>
  <c r="D85" i="2"/>
  <c r="C85" i="2"/>
  <c r="F84" i="2"/>
  <c r="E84" i="2"/>
  <c r="D84" i="2"/>
  <c r="C84" i="2"/>
  <c r="E83" i="2"/>
  <c r="D83" i="2"/>
  <c r="C83" i="2"/>
  <c r="F82" i="2"/>
  <c r="E82" i="2"/>
  <c r="D82" i="2"/>
  <c r="F81" i="2"/>
  <c r="E81" i="2"/>
  <c r="D81" i="2"/>
  <c r="C81" i="2"/>
  <c r="F80" i="2"/>
  <c r="E80" i="2"/>
  <c r="D80" i="2"/>
  <c r="C80" i="2"/>
  <c r="F76" i="2"/>
  <c r="E76" i="2"/>
  <c r="D76" i="2"/>
  <c r="C76" i="2"/>
  <c r="F75" i="2"/>
  <c r="E75" i="2"/>
  <c r="D75" i="2"/>
  <c r="C75" i="2"/>
  <c r="E42" i="2"/>
  <c r="D42" i="2"/>
  <c r="F39" i="2"/>
  <c r="G39" i="2" s="1"/>
  <c r="C38" i="2"/>
  <c r="G38" i="2" s="1"/>
  <c r="W109" i="2"/>
  <c r="W123" i="2" s="1"/>
  <c r="W110" i="2"/>
  <c r="W124" i="2" s="1"/>
  <c r="W111" i="2"/>
  <c r="W125" i="2" s="1"/>
  <c r="D52" i="17"/>
  <c r="H108" i="17" s="1"/>
  <c r="L17" i="19"/>
  <c r="D15" i="19"/>
  <c r="F13" i="19"/>
  <c r="G13" i="19" s="1"/>
  <c r="L12" i="19"/>
  <c r="L14" i="19" s="1"/>
  <c r="I12" i="19"/>
  <c r="F12" i="19"/>
  <c r="D16" i="19" s="1"/>
  <c r="U169" i="2"/>
  <c r="T169" i="2"/>
  <c r="S169" i="2"/>
  <c r="R169" i="2"/>
  <c r="P169" i="2"/>
  <c r="O169" i="2"/>
  <c r="N169" i="2"/>
  <c r="M169" i="2"/>
  <c r="K169" i="2"/>
  <c r="J169" i="2"/>
  <c r="I169" i="2"/>
  <c r="H169" i="2"/>
  <c r="W141" i="2"/>
  <c r="W143" i="2" s="1"/>
  <c r="T141" i="2"/>
  <c r="T143" i="2" s="1"/>
  <c r="S141" i="2"/>
  <c r="S143" i="2" s="1"/>
  <c r="R141" i="2"/>
  <c r="R143" i="2" s="1"/>
  <c r="O141" i="2"/>
  <c r="O143" i="2" s="1"/>
  <c r="N141" i="2"/>
  <c r="N143" i="2" s="1"/>
  <c r="M141" i="2"/>
  <c r="M143" i="2" s="1"/>
  <c r="J141" i="2"/>
  <c r="J143" i="2" s="1"/>
  <c r="I141" i="2"/>
  <c r="I143" i="2" s="1"/>
  <c r="H141" i="2"/>
  <c r="H143" i="2" s="1"/>
  <c r="AN85" i="2"/>
  <c r="AM85" i="2"/>
  <c r="AL85" i="2"/>
  <c r="AK85" i="2"/>
  <c r="AJ85" i="2"/>
  <c r="AI85" i="2"/>
  <c r="AH85" i="2"/>
  <c r="AG85" i="2"/>
  <c r="AE85" i="2"/>
  <c r="AD85" i="2"/>
  <c r="AC85" i="2"/>
  <c r="AB85" i="2"/>
  <c r="X85" i="2"/>
  <c r="Y85" i="2"/>
  <c r="Z85" i="2"/>
  <c r="L38" i="2"/>
  <c r="L37" i="2"/>
  <c r="L36" i="2"/>
  <c r="L32" i="2"/>
  <c r="L31" i="2"/>
  <c r="Q38" i="2"/>
  <c r="Q37" i="2"/>
  <c r="Q36" i="2"/>
  <c r="Q32" i="2"/>
  <c r="Q31" i="2"/>
  <c r="V32" i="2"/>
  <c r="V31" i="2"/>
  <c r="V37" i="2"/>
  <c r="V36" i="2"/>
  <c r="C27" i="2"/>
  <c r="C26" i="2"/>
  <c r="C25" i="2"/>
  <c r="C69" i="2" s="1"/>
  <c r="C24" i="2"/>
  <c r="H18" i="2"/>
  <c r="F20" i="2"/>
  <c r="F64" i="2" s="1"/>
  <c r="F19" i="2"/>
  <c r="F63" i="2" s="1"/>
  <c r="F18" i="2"/>
  <c r="F62" i="2" s="1"/>
  <c r="F17" i="2"/>
  <c r="F61" i="2" s="1"/>
  <c r="F16" i="2"/>
  <c r="F60" i="2" s="1"/>
  <c r="F15" i="2"/>
  <c r="F59" i="2" s="1"/>
  <c r="F14" i="2"/>
  <c r="F58" i="2" s="1"/>
  <c r="E20" i="2"/>
  <c r="E64" i="2" s="1"/>
  <c r="E19" i="2"/>
  <c r="E63" i="2" s="1"/>
  <c r="E18" i="2"/>
  <c r="E62" i="2" s="1"/>
  <c r="E17" i="2"/>
  <c r="E61" i="2" s="1"/>
  <c r="E16" i="2"/>
  <c r="E60" i="2" s="1"/>
  <c r="E15" i="2"/>
  <c r="E59" i="2" s="1"/>
  <c r="E14" i="2"/>
  <c r="E58" i="2" s="1"/>
  <c r="D20" i="2"/>
  <c r="D64" i="2" s="1"/>
  <c r="D19" i="2"/>
  <c r="D63" i="2" s="1"/>
  <c r="D18" i="2"/>
  <c r="D62" i="2" s="1"/>
  <c r="D17" i="2"/>
  <c r="D61" i="2" s="1"/>
  <c r="D16" i="2"/>
  <c r="D60" i="2" s="1"/>
  <c r="D15" i="2"/>
  <c r="D59" i="2" s="1"/>
  <c r="D14" i="2"/>
  <c r="D58" i="2" s="1"/>
  <c r="C20" i="2"/>
  <c r="C64" i="2" s="1"/>
  <c r="C19" i="2"/>
  <c r="C63" i="2" s="1"/>
  <c r="C18" i="2"/>
  <c r="C62" i="2" s="1"/>
  <c r="C17" i="2"/>
  <c r="C16" i="2"/>
  <c r="C60" i="2" s="1"/>
  <c r="C15" i="2"/>
  <c r="C14" i="2"/>
  <c r="C58" i="2" s="1"/>
  <c r="AK269" i="2"/>
  <c r="AK267" i="2"/>
  <c r="AK266" i="2"/>
  <c r="AK265" i="2"/>
  <c r="AK258" i="2"/>
  <c r="AK257" i="2"/>
  <c r="AK256" i="2"/>
  <c r="AK255" i="2"/>
  <c r="AK249" i="2"/>
  <c r="AK248" i="2"/>
  <c r="AK247" i="2"/>
  <c r="AK244" i="2"/>
  <c r="AK243" i="2"/>
  <c r="AK239" i="2"/>
  <c r="AK238" i="2"/>
  <c r="AK236" i="2"/>
  <c r="AK235" i="2"/>
  <c r="AK234" i="2"/>
  <c r="AK117" i="2"/>
  <c r="AL117" i="2" s="1"/>
  <c r="AM117" i="2" s="1"/>
  <c r="AF269" i="2"/>
  <c r="AF267" i="2"/>
  <c r="AF266" i="2"/>
  <c r="AF265" i="2"/>
  <c r="AF258" i="2"/>
  <c r="AF257" i="2"/>
  <c r="AF256" i="2"/>
  <c r="AF255" i="2"/>
  <c r="AF249" i="2"/>
  <c r="AF248" i="2"/>
  <c r="AF247" i="2"/>
  <c r="AF244" i="2"/>
  <c r="AF243" i="2"/>
  <c r="AF239" i="2"/>
  <c r="AF238" i="2"/>
  <c r="AF236" i="2"/>
  <c r="AF235" i="2"/>
  <c r="AF234" i="2"/>
  <c r="AF117" i="2"/>
  <c r="AA258" i="2"/>
  <c r="AA239" i="2"/>
  <c r="AA238" i="2"/>
  <c r="AA236" i="2"/>
  <c r="AA234" i="2"/>
  <c r="V277" i="2"/>
  <c r="V276" i="2"/>
  <c r="V269" i="2"/>
  <c r="V267" i="2"/>
  <c r="V266" i="2"/>
  <c r="V265" i="2"/>
  <c r="V264" i="2"/>
  <c r="V263" i="2"/>
  <c r="V262" i="2"/>
  <c r="V258" i="2"/>
  <c r="V257" i="2"/>
  <c r="V256" i="2"/>
  <c r="V255" i="2"/>
  <c r="V254" i="2"/>
  <c r="C24" i="17" s="1"/>
  <c r="V250" i="2"/>
  <c r="V249" i="2"/>
  <c r="V248" i="2"/>
  <c r="V247" i="2"/>
  <c r="V246" i="2"/>
  <c r="V245" i="2"/>
  <c r="V244" i="2"/>
  <c r="V243" i="2"/>
  <c r="V242" i="2"/>
  <c r="V239" i="2"/>
  <c r="V238" i="2"/>
  <c r="V237" i="2"/>
  <c r="V236" i="2"/>
  <c r="V235" i="2"/>
  <c r="V234" i="2"/>
  <c r="V233" i="2"/>
  <c r="C22" i="17" s="1"/>
  <c r="C23" i="17" s="1"/>
  <c r="V230" i="2"/>
  <c r="V212" i="2"/>
  <c r="V211" i="2"/>
  <c r="V209" i="2"/>
  <c r="V208" i="2"/>
  <c r="V207" i="2"/>
  <c r="V206" i="2"/>
  <c r="V205" i="2"/>
  <c r="V200" i="2"/>
  <c r="V199" i="2"/>
  <c r="V198" i="2"/>
  <c r="V195" i="2"/>
  <c r="V194" i="2"/>
  <c r="V193" i="2"/>
  <c r="V187" i="2"/>
  <c r="V186" i="2"/>
  <c r="V185" i="2"/>
  <c r="V184" i="2"/>
  <c r="V183" i="2"/>
  <c r="V180" i="2"/>
  <c r="V179" i="2"/>
  <c r="V178" i="2"/>
  <c r="V177" i="2"/>
  <c r="V176" i="2"/>
  <c r="V155" i="2"/>
  <c r="V117" i="2"/>
  <c r="V51" i="2"/>
  <c r="V47" i="2"/>
  <c r="V45" i="2"/>
  <c r="V38" i="2"/>
  <c r="Q277" i="2"/>
  <c r="Q276" i="2"/>
  <c r="Q269" i="2"/>
  <c r="Q267" i="2"/>
  <c r="Q266" i="2"/>
  <c r="Q265" i="2"/>
  <c r="Q264" i="2"/>
  <c r="Q263" i="2"/>
  <c r="Q262" i="2"/>
  <c r="Q258" i="2"/>
  <c r="Q257" i="2"/>
  <c r="Q256" i="2"/>
  <c r="Q255" i="2"/>
  <c r="Q254" i="2"/>
  <c r="Q282" i="2" s="1"/>
  <c r="Q250" i="2"/>
  <c r="Q249" i="2"/>
  <c r="Q248" i="2"/>
  <c r="Q247" i="2"/>
  <c r="Q246" i="2"/>
  <c r="Q245" i="2"/>
  <c r="Q244" i="2"/>
  <c r="Q243" i="2"/>
  <c r="Q242" i="2"/>
  <c r="Q239" i="2"/>
  <c r="Q238" i="2"/>
  <c r="Q237" i="2"/>
  <c r="Q236" i="2"/>
  <c r="Q235" i="2"/>
  <c r="Q234" i="2"/>
  <c r="Q233" i="2"/>
  <c r="Q274" i="2" s="1"/>
  <c r="Q230" i="2"/>
  <c r="Q212" i="2"/>
  <c r="Q211" i="2"/>
  <c r="Q209" i="2"/>
  <c r="Q208" i="2"/>
  <c r="Q207" i="2"/>
  <c r="Q206" i="2"/>
  <c r="Q205" i="2"/>
  <c r="Q200" i="2"/>
  <c r="Q199" i="2"/>
  <c r="Q198" i="2"/>
  <c r="Q195" i="2"/>
  <c r="Q194" i="2"/>
  <c r="Q193" i="2"/>
  <c r="Q192" i="2"/>
  <c r="Q187" i="2"/>
  <c r="Q186" i="2"/>
  <c r="Q185" i="2"/>
  <c r="Q184" i="2"/>
  <c r="Q183" i="2"/>
  <c r="Q180" i="2"/>
  <c r="Q179" i="2"/>
  <c r="Q178" i="2"/>
  <c r="Q177" i="2"/>
  <c r="Q176" i="2"/>
  <c r="Q155" i="2"/>
  <c r="Q117" i="2"/>
  <c r="Q51" i="2"/>
  <c r="Q47" i="2"/>
  <c r="Q45" i="2"/>
  <c r="L277" i="2"/>
  <c r="L276" i="2"/>
  <c r="L269" i="2"/>
  <c r="L267" i="2"/>
  <c r="L266" i="2"/>
  <c r="L265" i="2"/>
  <c r="L264" i="2"/>
  <c r="L263" i="2"/>
  <c r="L262" i="2"/>
  <c r="L258" i="2"/>
  <c r="L257" i="2"/>
  <c r="L256" i="2"/>
  <c r="L255" i="2"/>
  <c r="L254" i="2"/>
  <c r="L282" i="2" s="1"/>
  <c r="L250" i="2"/>
  <c r="L249" i="2"/>
  <c r="L248" i="2"/>
  <c r="L247" i="2"/>
  <c r="L246" i="2"/>
  <c r="L245" i="2"/>
  <c r="L244" i="2"/>
  <c r="L243" i="2"/>
  <c r="L242" i="2"/>
  <c r="L234" i="2"/>
  <c r="L235" i="2"/>
  <c r="L236" i="2"/>
  <c r="L237" i="2"/>
  <c r="L238" i="2"/>
  <c r="L239" i="2"/>
  <c r="L233" i="2"/>
  <c r="L230" i="2"/>
  <c r="L212" i="2"/>
  <c r="L211" i="2"/>
  <c r="L209" i="2"/>
  <c r="L208" i="2"/>
  <c r="L207" i="2"/>
  <c r="L206" i="2"/>
  <c r="L205" i="2"/>
  <c r="L200" i="2"/>
  <c r="L199" i="2"/>
  <c r="L198" i="2"/>
  <c r="L195" i="2"/>
  <c r="L194" i="2"/>
  <c r="L193" i="2"/>
  <c r="L192" i="2"/>
  <c r="L187" i="2"/>
  <c r="L186" i="2"/>
  <c r="L185" i="2"/>
  <c r="L184" i="2"/>
  <c r="L183" i="2"/>
  <c r="L180" i="2"/>
  <c r="L179" i="2"/>
  <c r="L178" i="2"/>
  <c r="L177" i="2"/>
  <c r="L176" i="2"/>
  <c r="L155" i="2"/>
  <c r="L51" i="2"/>
  <c r="L45" i="2"/>
  <c r="H27" i="2"/>
  <c r="F27" i="2" s="1"/>
  <c r="E27" i="2" s="1"/>
  <c r="D27" i="2" s="1"/>
  <c r="D71" i="2" s="1"/>
  <c r="H26" i="2"/>
  <c r="F26" i="2" s="1"/>
  <c r="E26" i="2" s="1"/>
  <c r="D26" i="2" s="1"/>
  <c r="D70" i="2" s="1"/>
  <c r="H25" i="2"/>
  <c r="F25" i="2" s="1"/>
  <c r="E25" i="2" s="1"/>
  <c r="D25" i="2" s="1"/>
  <c r="D69" i="2" s="1"/>
  <c r="H24" i="2"/>
  <c r="F24" i="2" s="1"/>
  <c r="F68" i="2" s="1"/>
  <c r="C107" i="17"/>
  <c r="C108" i="17" s="1"/>
  <c r="C105" i="17"/>
  <c r="C104" i="17" s="1"/>
  <c r="G103" i="17"/>
  <c r="H103" i="17" s="1"/>
  <c r="E103" i="17"/>
  <c r="D103" i="17" s="1"/>
  <c r="C97" i="17"/>
  <c r="C98" i="17" s="1"/>
  <c r="C95" i="17"/>
  <c r="C94" i="17" s="1"/>
  <c r="G93" i="17"/>
  <c r="H93" i="17" s="1"/>
  <c r="E93" i="17"/>
  <c r="D93" i="17" s="1"/>
  <c r="D36" i="17"/>
  <c r="D14" i="17"/>
  <c r="E14" i="17" s="1"/>
  <c r="F14" i="17" s="1"/>
  <c r="G14" i="17" s="1"/>
  <c r="H14" i="17" s="1"/>
  <c r="D35" i="17"/>
  <c r="C5" i="17"/>
  <c r="Z237" i="2"/>
  <c r="AE237" i="2" s="1"/>
  <c r="AJ237" i="2" s="1"/>
  <c r="I286" i="2"/>
  <c r="J286" i="2"/>
  <c r="K286" i="2"/>
  <c r="M286" i="2"/>
  <c r="N286" i="2"/>
  <c r="O286" i="2"/>
  <c r="P286" i="2"/>
  <c r="R286" i="2"/>
  <c r="S286" i="2"/>
  <c r="T286" i="2"/>
  <c r="U286" i="2"/>
  <c r="H286" i="2"/>
  <c r="J285" i="2"/>
  <c r="I285" i="2"/>
  <c r="H285" i="2"/>
  <c r="K285" i="2"/>
  <c r="U285" i="2"/>
  <c r="T285" i="2"/>
  <c r="S285" i="2"/>
  <c r="R285" i="2"/>
  <c r="P285" i="2"/>
  <c r="O285" i="2"/>
  <c r="N285" i="2"/>
  <c r="M285" i="2"/>
  <c r="U274" i="2"/>
  <c r="T274" i="2"/>
  <c r="S274" i="2"/>
  <c r="R274" i="2"/>
  <c r="P274" i="2"/>
  <c r="O274" i="2"/>
  <c r="N274" i="2"/>
  <c r="M274" i="2"/>
  <c r="K274" i="2"/>
  <c r="J274" i="2"/>
  <c r="I274" i="2"/>
  <c r="H274" i="2"/>
  <c r="I278" i="2"/>
  <c r="I279" i="2" s="1"/>
  <c r="J278" i="2"/>
  <c r="J279" i="2" s="1"/>
  <c r="K278" i="2"/>
  <c r="K279" i="2" s="1"/>
  <c r="M278" i="2"/>
  <c r="M279" i="2" s="1"/>
  <c r="N278" i="2"/>
  <c r="N279" i="2" s="1"/>
  <c r="O278" i="2"/>
  <c r="O279" i="2" s="1"/>
  <c r="P278" i="2"/>
  <c r="P279" i="2" s="1"/>
  <c r="R278" i="2"/>
  <c r="R279" i="2" s="1"/>
  <c r="S278" i="2"/>
  <c r="S279" i="2" s="1"/>
  <c r="T278" i="2"/>
  <c r="T279" i="2" s="1"/>
  <c r="U278" i="2"/>
  <c r="U279" i="2" s="1"/>
  <c r="W278" i="2"/>
  <c r="H278" i="2"/>
  <c r="H279" i="2" s="1"/>
  <c r="Y237" i="2"/>
  <c r="AD237" i="2" s="1"/>
  <c r="X237" i="2"/>
  <c r="AC237" i="2" s="1"/>
  <c r="AH237" i="2" s="1"/>
  <c r="W269" i="2"/>
  <c r="AA269" i="2" s="1"/>
  <c r="W267" i="2"/>
  <c r="AA267" i="2" s="1"/>
  <c r="W266" i="2"/>
  <c r="AA266" i="2" s="1"/>
  <c r="W265" i="2"/>
  <c r="AA265" i="2" s="1"/>
  <c r="W264" i="2"/>
  <c r="W263" i="2"/>
  <c r="X263" i="2" s="1"/>
  <c r="Y263" i="2" s="1"/>
  <c r="Z263" i="2" s="1"/>
  <c r="AB263" i="2" s="1"/>
  <c r="AC263" i="2" s="1"/>
  <c r="AD263" i="2" s="1"/>
  <c r="AE263" i="2" s="1"/>
  <c r="AG263" i="2" s="1"/>
  <c r="AH263" i="2" s="1"/>
  <c r="AI263" i="2" s="1"/>
  <c r="AJ263" i="2" s="1"/>
  <c r="W262" i="2"/>
  <c r="W257" i="2"/>
  <c r="AA257" i="2" s="1"/>
  <c r="W256" i="2"/>
  <c r="AA256" i="2" s="1"/>
  <c r="W255" i="2"/>
  <c r="AA255" i="2" s="1"/>
  <c r="W254" i="2"/>
  <c r="W282" i="2" s="1"/>
  <c r="W250" i="2"/>
  <c r="W249" i="2"/>
  <c r="AA249" i="2" s="1"/>
  <c r="W248" i="2"/>
  <c r="AA248" i="2" s="1"/>
  <c r="W247" i="2"/>
  <c r="AA247" i="2" s="1"/>
  <c r="W246" i="2"/>
  <c r="W245" i="2"/>
  <c r="W244" i="2"/>
  <c r="AA244" i="2" s="1"/>
  <c r="W243" i="2"/>
  <c r="AA243" i="2" s="1"/>
  <c r="W242" i="2"/>
  <c r="W237" i="2"/>
  <c r="AB237" i="2" s="1"/>
  <c r="AG237" i="2" s="1"/>
  <c r="W235" i="2"/>
  <c r="AA235" i="2" s="1"/>
  <c r="G290" i="2" l="1"/>
  <c r="Q290" i="2"/>
  <c r="L290" i="2"/>
  <c r="N18" i="26"/>
  <c r="AC164" i="2"/>
  <c r="AD164" i="2" s="1"/>
  <c r="AE164" i="2" s="1"/>
  <c r="AG164" i="2" s="1"/>
  <c r="AA164" i="2"/>
  <c r="L285" i="2"/>
  <c r="V285" i="2"/>
  <c r="F110" i="2"/>
  <c r="G110" i="2" s="1"/>
  <c r="E113" i="2"/>
  <c r="E145" i="2" s="1"/>
  <c r="G33" i="2"/>
  <c r="G278" i="2"/>
  <c r="G279" i="2" s="1"/>
  <c r="L29" i="27"/>
  <c r="L27" i="27"/>
  <c r="L14" i="27"/>
  <c r="L15" i="27"/>
  <c r="J32" i="27"/>
  <c r="K10" i="27"/>
  <c r="H18" i="26"/>
  <c r="L10" i="27"/>
  <c r="L30" i="27"/>
  <c r="L32" i="27"/>
  <c r="O10" i="27"/>
  <c r="N10" i="27"/>
  <c r="K30" i="27"/>
  <c r="I31" i="27"/>
  <c r="K29" i="27"/>
  <c r="J31" i="27"/>
  <c r="K15" i="27"/>
  <c r="K28" i="27"/>
  <c r="I32" i="27"/>
  <c r="K14" i="27"/>
  <c r="K27" i="27"/>
  <c r="K13" i="27"/>
  <c r="L13" i="27"/>
  <c r="H84" i="17"/>
  <c r="G84" i="17"/>
  <c r="F84" i="17"/>
  <c r="E84" i="17"/>
  <c r="D84" i="17"/>
  <c r="D81" i="17"/>
  <c r="G82" i="17"/>
  <c r="L286" i="2"/>
  <c r="V286" i="2"/>
  <c r="Q285" i="2"/>
  <c r="Q286" i="2"/>
  <c r="H80" i="17"/>
  <c r="E82" i="17"/>
  <c r="G83" i="17"/>
  <c r="F82" i="17"/>
  <c r="H83" i="17"/>
  <c r="E81" i="17"/>
  <c r="H82" i="17"/>
  <c r="D80" i="17"/>
  <c r="F81" i="17"/>
  <c r="E80" i="17"/>
  <c r="G81" i="17"/>
  <c r="D83" i="17"/>
  <c r="F80" i="17"/>
  <c r="H81" i="17"/>
  <c r="E83" i="17"/>
  <c r="G80" i="17"/>
  <c r="D82" i="17"/>
  <c r="F83" i="17"/>
  <c r="F14" i="23"/>
  <c r="F21" i="23" s="1"/>
  <c r="F13" i="23"/>
  <c r="F20" i="23" s="1"/>
  <c r="F12" i="23"/>
  <c r="F19" i="23" s="1"/>
  <c r="C24" i="23"/>
  <c r="F16" i="23"/>
  <c r="F23" i="23" s="1"/>
  <c r="F15" i="23"/>
  <c r="F22" i="23" s="1"/>
  <c r="V282" i="2"/>
  <c r="AB110" i="2"/>
  <c r="J123" i="2"/>
  <c r="E77" i="2"/>
  <c r="G196" i="2"/>
  <c r="G42" i="2"/>
  <c r="G259" i="2"/>
  <c r="C77" i="2"/>
  <c r="G80" i="2"/>
  <c r="G169" i="2"/>
  <c r="G17" i="2"/>
  <c r="G84" i="2"/>
  <c r="G94" i="2"/>
  <c r="G98" i="2"/>
  <c r="G100" i="2"/>
  <c r="G64" i="2"/>
  <c r="G241" i="2"/>
  <c r="G251" i="2" s="1"/>
  <c r="G281" i="2" s="1"/>
  <c r="G283" i="2" s="1"/>
  <c r="G26" i="2"/>
  <c r="F109" i="2"/>
  <c r="G109" i="2" s="1"/>
  <c r="G268" i="2"/>
  <c r="F77" i="2"/>
  <c r="G181" i="2"/>
  <c r="G54" i="2"/>
  <c r="G210" i="2"/>
  <c r="G213" i="2" s="1"/>
  <c r="G27" i="2"/>
  <c r="G15" i="2"/>
  <c r="G18" i="2"/>
  <c r="G60" i="2"/>
  <c r="C42" i="2"/>
  <c r="E86" i="2"/>
  <c r="G85" i="2"/>
  <c r="G96" i="2"/>
  <c r="G99" i="2"/>
  <c r="D120" i="2"/>
  <c r="D153" i="2" s="1"/>
  <c r="D145" i="2"/>
  <c r="G188" i="2"/>
  <c r="G76" i="2"/>
  <c r="G81" i="2"/>
  <c r="G201" i="2"/>
  <c r="C120" i="2"/>
  <c r="C153" i="2" s="1"/>
  <c r="G62" i="2"/>
  <c r="G141" i="2"/>
  <c r="G63" i="2"/>
  <c r="F65" i="2"/>
  <c r="E65" i="2"/>
  <c r="G118" i="2"/>
  <c r="G148" i="2" s="1"/>
  <c r="G58" i="2"/>
  <c r="E69" i="2"/>
  <c r="E71" i="2"/>
  <c r="G19" i="2"/>
  <c r="F69" i="2"/>
  <c r="F71" i="2"/>
  <c r="F83" i="2"/>
  <c r="G83" i="2" s="1"/>
  <c r="C103" i="2"/>
  <c r="G20" i="2"/>
  <c r="F42" i="2"/>
  <c r="C59" i="2"/>
  <c r="G59" i="2" s="1"/>
  <c r="C61" i="2"/>
  <c r="G61" i="2" s="1"/>
  <c r="C68" i="2"/>
  <c r="C70" i="2"/>
  <c r="C82" i="2"/>
  <c r="G82" i="2" s="1"/>
  <c r="D103" i="2"/>
  <c r="D65" i="2"/>
  <c r="D77" i="2"/>
  <c r="D86" i="2"/>
  <c r="E103" i="2"/>
  <c r="G14" i="2"/>
  <c r="E70" i="2"/>
  <c r="F103" i="2"/>
  <c r="G25" i="2"/>
  <c r="G75" i="2"/>
  <c r="F70" i="2"/>
  <c r="G16" i="2"/>
  <c r="C71" i="2"/>
  <c r="F118" i="2"/>
  <c r="F148" i="2" s="1"/>
  <c r="F141" i="2"/>
  <c r="F143" i="2" s="1"/>
  <c r="L274" i="2"/>
  <c r="C25" i="17"/>
  <c r="V33" i="2"/>
  <c r="Q33" i="2"/>
  <c r="O168" i="2"/>
  <c r="O170" i="2" s="1"/>
  <c r="O291" i="2" s="1"/>
  <c r="W168" i="2"/>
  <c r="M168" i="2"/>
  <c r="M170" i="2" s="1"/>
  <c r="M291" i="2" s="1"/>
  <c r="H168" i="2"/>
  <c r="H170" i="2" s="1"/>
  <c r="N168" i="2"/>
  <c r="N170" i="2" s="1"/>
  <c r="N291" i="2" s="1"/>
  <c r="V169" i="2"/>
  <c r="I168" i="2"/>
  <c r="I170" i="2" s="1"/>
  <c r="Q169" i="2"/>
  <c r="J168" i="2"/>
  <c r="J170" i="2" s="1"/>
  <c r="R168" i="2"/>
  <c r="R170" i="2" s="1"/>
  <c r="R291" i="2" s="1"/>
  <c r="S168" i="2"/>
  <c r="S170" i="2" s="1"/>
  <c r="S291" i="2" s="1"/>
  <c r="T168" i="2"/>
  <c r="T170" i="2" s="1"/>
  <c r="T291" i="2" s="1"/>
  <c r="L169" i="2"/>
  <c r="G12" i="19"/>
  <c r="G15" i="19" s="1"/>
  <c r="G18" i="19" s="1"/>
  <c r="G19" i="19" s="1"/>
  <c r="G20" i="19" s="1"/>
  <c r="V274" i="2"/>
  <c r="L33" i="2"/>
  <c r="AN117" i="2"/>
  <c r="F21" i="2"/>
  <c r="C28" i="2"/>
  <c r="E24" i="2"/>
  <c r="E68" i="2" s="1"/>
  <c r="F28" i="2"/>
  <c r="C21" i="2"/>
  <c r="E106" i="17"/>
  <c r="F106" i="17"/>
  <c r="G107" i="17"/>
  <c r="H107" i="17"/>
  <c r="H104" i="17"/>
  <c r="E21" i="2"/>
  <c r="D21" i="2"/>
  <c r="AK263" i="2"/>
  <c r="AL263" i="2" s="1"/>
  <c r="AM263" i="2" s="1"/>
  <c r="AN263" i="2" s="1"/>
  <c r="AF263" i="2"/>
  <c r="AF237" i="2"/>
  <c r="V278" i="2"/>
  <c r="V279" i="2" s="1"/>
  <c r="V201" i="2"/>
  <c r="AA263" i="2"/>
  <c r="V181" i="2"/>
  <c r="L268" i="2"/>
  <c r="V259" i="2"/>
  <c r="Q210" i="2"/>
  <c r="Q213" i="2" s="1"/>
  <c r="Q259" i="2"/>
  <c r="Q196" i="2"/>
  <c r="AA237" i="2"/>
  <c r="L278" i="2"/>
  <c r="L279" i="2" s="1"/>
  <c r="V210" i="2"/>
  <c r="V213" i="2" s="1"/>
  <c r="Q241" i="2"/>
  <c r="Q251" i="2" s="1"/>
  <c r="Q281" i="2" s="1"/>
  <c r="Q283" i="2" s="1"/>
  <c r="Q181" i="2"/>
  <c r="L181" i="2"/>
  <c r="L241" i="2"/>
  <c r="L251" i="2" s="1"/>
  <c r="L281" i="2" s="1"/>
  <c r="L283" i="2" s="1"/>
  <c r="L210" i="2"/>
  <c r="L213" i="2" s="1"/>
  <c r="L259" i="2"/>
  <c r="V188" i="2"/>
  <c r="Q278" i="2"/>
  <c r="Q279" i="2" s="1"/>
  <c r="V241" i="2"/>
  <c r="V251" i="2" s="1"/>
  <c r="V281" i="2" s="1"/>
  <c r="V268" i="2"/>
  <c r="L196" i="2"/>
  <c r="Q188" i="2"/>
  <c r="L188" i="2"/>
  <c r="Q201" i="2"/>
  <c r="L201" i="2"/>
  <c r="Q268" i="2"/>
  <c r="D105" i="17"/>
  <c r="G106" i="17"/>
  <c r="D29" i="17"/>
  <c r="E29" i="17" s="1"/>
  <c r="F29" i="17" s="1"/>
  <c r="G29" i="17" s="1"/>
  <c r="H29" i="17" s="1"/>
  <c r="E105" i="17"/>
  <c r="H106" i="17"/>
  <c r="D108" i="17"/>
  <c r="D104" i="17"/>
  <c r="F105" i="17"/>
  <c r="E108" i="17"/>
  <c r="E104" i="17"/>
  <c r="G105" i="17"/>
  <c r="D107" i="17"/>
  <c r="F108" i="17"/>
  <c r="F104" i="17"/>
  <c r="H105" i="17"/>
  <c r="E107" i="17"/>
  <c r="G108" i="17"/>
  <c r="G104" i="17"/>
  <c r="D106" i="17"/>
  <c r="F107" i="17"/>
  <c r="Y278" i="2"/>
  <c r="W279" i="2"/>
  <c r="AI237" i="2"/>
  <c r="AK237" i="2" s="1"/>
  <c r="AL237" i="2" s="1"/>
  <c r="W241" i="2"/>
  <c r="V283" i="2" l="1"/>
  <c r="AF164" i="2"/>
  <c r="AH164" i="2"/>
  <c r="AI164" i="2" s="1"/>
  <c r="AJ164" i="2" s="1"/>
  <c r="E120" i="2"/>
  <c r="E153" i="2" s="1"/>
  <c r="AM237" i="2"/>
  <c r="AN237" i="2" s="1"/>
  <c r="L31" i="27"/>
  <c r="M27" i="27"/>
  <c r="K32" i="27"/>
  <c r="N36" i="27" s="1"/>
  <c r="O36" i="27" s="1"/>
  <c r="O27" i="27"/>
  <c r="K31" i="27"/>
  <c r="N27" i="27"/>
  <c r="N28" i="27"/>
  <c r="M28" i="27"/>
  <c r="O28" i="27"/>
  <c r="O13" i="27"/>
  <c r="N13" i="27"/>
  <c r="N23" i="27"/>
  <c r="O23" i="27" s="1"/>
  <c r="M13" i="27"/>
  <c r="M14" i="27"/>
  <c r="O14" i="27"/>
  <c r="N14" i="27"/>
  <c r="N15" i="27"/>
  <c r="M15" i="27"/>
  <c r="O15" i="27"/>
  <c r="O30" i="27"/>
  <c r="N30" i="27"/>
  <c r="M30" i="27"/>
  <c r="N47" i="27"/>
  <c r="O29" i="27"/>
  <c r="N29" i="27"/>
  <c r="M29" i="27"/>
  <c r="G86" i="2"/>
  <c r="I29" i="17"/>
  <c r="I30" i="17" s="1"/>
  <c r="D38" i="17" s="1"/>
  <c r="F24" i="23"/>
  <c r="O37" i="23" s="1"/>
  <c r="O38" i="23"/>
  <c r="L15" i="19"/>
  <c r="L16" i="19" s="1"/>
  <c r="D49" i="17"/>
  <c r="G203" i="2"/>
  <c r="G215" i="2" s="1"/>
  <c r="G113" i="2"/>
  <c r="G145" i="2" s="1"/>
  <c r="G270" i="2"/>
  <c r="G71" i="2"/>
  <c r="F113" i="2"/>
  <c r="F145" i="2" s="1"/>
  <c r="G103" i="2"/>
  <c r="G105" i="2" s="1"/>
  <c r="G190" i="2"/>
  <c r="E72" i="2"/>
  <c r="E88" i="2" s="1"/>
  <c r="E90" i="2" s="1"/>
  <c r="F86" i="2"/>
  <c r="G77" i="2"/>
  <c r="F72" i="2"/>
  <c r="G69" i="2"/>
  <c r="G143" i="2"/>
  <c r="G168" i="2"/>
  <c r="G170" i="2" s="1"/>
  <c r="G291" i="2" s="1"/>
  <c r="G293" i="2" s="1"/>
  <c r="G65" i="2"/>
  <c r="C86" i="2"/>
  <c r="C65" i="2"/>
  <c r="C72" i="2"/>
  <c r="G21" i="2"/>
  <c r="G70" i="2"/>
  <c r="D24" i="2"/>
  <c r="E28" i="2"/>
  <c r="Q190" i="2"/>
  <c r="Q203" i="2"/>
  <c r="Q215" i="2" s="1"/>
  <c r="V190" i="2"/>
  <c r="L190" i="2"/>
  <c r="L270" i="2"/>
  <c r="V270" i="2"/>
  <c r="Q270" i="2"/>
  <c r="L203" i="2"/>
  <c r="L215" i="2" s="1"/>
  <c r="D30" i="17"/>
  <c r="E30" i="17"/>
  <c r="F30" i="17"/>
  <c r="G30" i="17"/>
  <c r="H30" i="17"/>
  <c r="Y279" i="2"/>
  <c r="Z278" i="2"/>
  <c r="G120" i="2" l="1"/>
  <c r="G151" i="2" s="1"/>
  <c r="AK164" i="2"/>
  <c r="AL164" i="2" s="1"/>
  <c r="AM164" i="2" s="1"/>
  <c r="AN164" i="2" s="1"/>
  <c r="F120" i="2"/>
  <c r="F153" i="2" s="1"/>
  <c r="O19" i="27"/>
  <c r="O18" i="27"/>
  <c r="N18" i="27"/>
  <c r="N19" i="27"/>
  <c r="M19" i="27"/>
  <c r="M18" i="27"/>
  <c r="M43" i="27"/>
  <c r="M42" i="27"/>
  <c r="N43" i="27"/>
  <c r="N42" i="27"/>
  <c r="O43" i="27"/>
  <c r="O42" i="27"/>
  <c r="N31" i="27"/>
  <c r="N32" i="27"/>
  <c r="O32" i="27"/>
  <c r="O31" i="27"/>
  <c r="G29" i="26"/>
  <c r="G30" i="26" s="1"/>
  <c r="G14" i="26" s="1"/>
  <c r="G20" i="26" s="1"/>
  <c r="O47" i="27"/>
  <c r="H29" i="26" s="1"/>
  <c r="H30" i="26" s="1"/>
  <c r="H14" i="26" s="1"/>
  <c r="H20" i="26" s="1"/>
  <c r="M31" i="27"/>
  <c r="M32" i="27"/>
  <c r="G217" i="2"/>
  <c r="H24" i="23"/>
  <c r="O39" i="23"/>
  <c r="O43" i="23" s="1"/>
  <c r="F88" i="2"/>
  <c r="F90" i="2" s="1"/>
  <c r="G224" i="2"/>
  <c r="G222" i="2"/>
  <c r="G158" i="2"/>
  <c r="G162" i="2" s="1"/>
  <c r="G156" i="2"/>
  <c r="D28" i="2"/>
  <c r="D68" i="2"/>
  <c r="G24" i="2"/>
  <c r="G28" i="2" s="1"/>
  <c r="C88" i="2"/>
  <c r="C90" i="2" s="1"/>
  <c r="Q217" i="2"/>
  <c r="L217" i="2"/>
  <c r="AB278" i="2"/>
  <c r="Z279" i="2"/>
  <c r="G273" i="2" l="1"/>
  <c r="G153" i="2"/>
  <c r="G223" i="2"/>
  <c r="G221" i="2"/>
  <c r="G220" i="2"/>
  <c r="O46" i="27"/>
  <c r="O48" i="27" s="1"/>
  <c r="H9" i="26" s="1"/>
  <c r="H11" i="26" s="1"/>
  <c r="H13" i="26" s="1"/>
  <c r="H15" i="26" s="1"/>
  <c r="O22" i="27"/>
  <c r="O24" i="27" s="1"/>
  <c r="N22" i="27"/>
  <c r="N24" i="27" s="1"/>
  <c r="O35" i="27"/>
  <c r="O37" i="27" s="1"/>
  <c r="N35" i="27"/>
  <c r="N37" i="27" s="1"/>
  <c r="N46" i="27"/>
  <c r="D72" i="2"/>
  <c r="D88" i="2" s="1"/>
  <c r="D90" i="2" s="1"/>
  <c r="G68" i="2"/>
  <c r="G72" i="2" s="1"/>
  <c r="G88" i="2" s="1"/>
  <c r="G90" i="2" s="1"/>
  <c r="X90" i="2" s="1"/>
  <c r="AC278" i="2"/>
  <c r="AB279" i="2"/>
  <c r="H10" i="26" l="1"/>
  <c r="N48" i="27"/>
  <c r="G9" i="26" s="1"/>
  <c r="G11" i="26" s="1"/>
  <c r="G13" i="26" s="1"/>
  <c r="G15" i="26" s="1"/>
  <c r="G10" i="26"/>
  <c r="AB90" i="2"/>
  <c r="AG90" i="2"/>
  <c r="AD278" i="2"/>
  <c r="AC279" i="2"/>
  <c r="AD279" i="2" l="1"/>
  <c r="AE278" i="2"/>
  <c r="AE279" i="2" l="1"/>
  <c r="AG278" i="2"/>
  <c r="AG279" i="2" l="1"/>
  <c r="AH278" i="2"/>
  <c r="AH279" i="2" l="1"/>
  <c r="AI278" i="2"/>
  <c r="AI279" i="2" l="1"/>
  <c r="AJ278" i="2"/>
  <c r="AL278" i="2" l="1"/>
  <c r="AN278" i="2" s="1"/>
  <c r="AJ279" i="2"/>
  <c r="AL279" i="2" l="1"/>
  <c r="AN279" i="2" s="1"/>
  <c r="W233" i="2" l="1"/>
  <c r="W169" i="2" s="1"/>
  <c r="W170" i="2" s="1"/>
  <c r="W291" i="2" s="1"/>
  <c r="W230" i="2"/>
  <c r="W212" i="2"/>
  <c r="W211" i="2"/>
  <c r="W206" i="2"/>
  <c r="X206" i="2" s="1"/>
  <c r="Y206" i="2" s="1"/>
  <c r="Z206" i="2" s="1"/>
  <c r="W207" i="2"/>
  <c r="X207" i="2" s="1"/>
  <c r="Y207" i="2" s="1"/>
  <c r="Z207" i="2" s="1"/>
  <c r="W208" i="2"/>
  <c r="X208" i="2" s="1"/>
  <c r="W209" i="2"/>
  <c r="W205" i="2"/>
  <c r="X205" i="2" s="1"/>
  <c r="Y205" i="2" s="1"/>
  <c r="Z205" i="2" s="1"/>
  <c r="W199" i="2"/>
  <c r="X199" i="2" s="1"/>
  <c r="Y199" i="2" s="1"/>
  <c r="Z199" i="2" s="1"/>
  <c r="W200" i="2"/>
  <c r="X200" i="2" s="1"/>
  <c r="Y200" i="2" s="1"/>
  <c r="Z200" i="2" s="1"/>
  <c r="W198" i="2"/>
  <c r="W194" i="2"/>
  <c r="X194" i="2" s="1"/>
  <c r="Y194" i="2" s="1"/>
  <c r="Z194" i="2" s="1"/>
  <c r="W195" i="2"/>
  <c r="W193" i="2"/>
  <c r="W192" i="2"/>
  <c r="W187" i="2"/>
  <c r="X187" i="2" s="1"/>
  <c r="Y187" i="2" s="1"/>
  <c r="Z187" i="2" s="1"/>
  <c r="W186" i="2"/>
  <c r="X186" i="2" s="1"/>
  <c r="Y186" i="2" s="1"/>
  <c r="Z186" i="2" s="1"/>
  <c r="W185" i="2"/>
  <c r="W184" i="2"/>
  <c r="W183" i="2"/>
  <c r="W177" i="2"/>
  <c r="W178" i="2"/>
  <c r="W179" i="2"/>
  <c r="X179" i="2" s="1"/>
  <c r="Y179" i="2" s="1"/>
  <c r="Z179" i="2" s="1"/>
  <c r="W180" i="2"/>
  <c r="W176" i="2"/>
  <c r="L19" i="19" s="1"/>
  <c r="W259" i="2"/>
  <c r="S282" i="2"/>
  <c r="R282" i="2"/>
  <c r="S268" i="2"/>
  <c r="R268" i="2"/>
  <c r="R259" i="2"/>
  <c r="R241" i="2"/>
  <c r="R251" i="2" s="1"/>
  <c r="R281" i="2" s="1"/>
  <c r="M282" i="2"/>
  <c r="M268" i="2"/>
  <c r="M259" i="2"/>
  <c r="O259" i="2"/>
  <c r="N259" i="2"/>
  <c r="O241" i="2"/>
  <c r="N241" i="2"/>
  <c r="M241" i="2"/>
  <c r="I282" i="2"/>
  <c r="I268" i="2"/>
  <c r="J259" i="2"/>
  <c r="I259" i="2"/>
  <c r="J241" i="2"/>
  <c r="I241" i="2"/>
  <c r="H282" i="2"/>
  <c r="H268" i="2"/>
  <c r="H259" i="2"/>
  <c r="H241" i="2"/>
  <c r="U210" i="2"/>
  <c r="U213" i="2" s="1"/>
  <c r="T210" i="2"/>
  <c r="T213" i="2" s="1"/>
  <c r="S210" i="2"/>
  <c r="S213" i="2" s="1"/>
  <c r="R210" i="2"/>
  <c r="R213" i="2" s="1"/>
  <c r="U201" i="2"/>
  <c r="T201" i="2"/>
  <c r="S201" i="2"/>
  <c r="R201" i="2"/>
  <c r="S196" i="2"/>
  <c r="R196" i="2"/>
  <c r="U192" i="2"/>
  <c r="U290" i="2" s="1"/>
  <c r="T192" i="2"/>
  <c r="U188" i="2"/>
  <c r="T188" i="2"/>
  <c r="S188" i="2"/>
  <c r="R188" i="2"/>
  <c r="U181" i="2"/>
  <c r="T181" i="2"/>
  <c r="S181" i="2"/>
  <c r="R181" i="2"/>
  <c r="P210" i="2"/>
  <c r="P213" i="2" s="1"/>
  <c r="O210" i="2"/>
  <c r="O213" i="2" s="1"/>
  <c r="N210" i="2"/>
  <c r="N213" i="2" s="1"/>
  <c r="M210" i="2"/>
  <c r="M213" i="2" s="1"/>
  <c r="P201" i="2"/>
  <c r="O201" i="2"/>
  <c r="N201" i="2"/>
  <c r="M201" i="2"/>
  <c r="P196" i="2"/>
  <c r="O196" i="2"/>
  <c r="N196" i="2"/>
  <c r="M196" i="2"/>
  <c r="P188" i="2"/>
  <c r="O188" i="2"/>
  <c r="N188" i="2"/>
  <c r="M188" i="2"/>
  <c r="P181" i="2"/>
  <c r="O181" i="2"/>
  <c r="N181" i="2"/>
  <c r="M181" i="2"/>
  <c r="K210" i="2"/>
  <c r="K213" i="2" s="1"/>
  <c r="J210" i="2"/>
  <c r="J213" i="2" s="1"/>
  <c r="I210" i="2"/>
  <c r="I213" i="2" s="1"/>
  <c r="H210" i="2"/>
  <c r="H213" i="2" s="1"/>
  <c r="K201" i="2"/>
  <c r="J201" i="2"/>
  <c r="I201" i="2"/>
  <c r="H201" i="2"/>
  <c r="K196" i="2"/>
  <c r="J192" i="2"/>
  <c r="I192" i="2"/>
  <c r="H192" i="2"/>
  <c r="K188" i="2"/>
  <c r="J188" i="2"/>
  <c r="H188" i="2"/>
  <c r="I187" i="2"/>
  <c r="I188" i="2" s="1"/>
  <c r="K181" i="2"/>
  <c r="J181" i="2"/>
  <c r="I181" i="2"/>
  <c r="H181" i="2"/>
  <c r="J196" i="2" l="1"/>
  <c r="J290" i="2"/>
  <c r="H196" i="2"/>
  <c r="H290" i="2"/>
  <c r="T196" i="2"/>
  <c r="T290" i="2"/>
  <c r="W290" i="2"/>
  <c r="I196" i="2"/>
  <c r="I203" i="2" s="1"/>
  <c r="I215" i="2" s="1"/>
  <c r="I290" i="2"/>
  <c r="X198" i="2"/>
  <c r="D46" i="17"/>
  <c r="L20" i="19"/>
  <c r="AB179" i="2"/>
  <c r="AC179" i="2" s="1"/>
  <c r="AD179" i="2" s="1"/>
  <c r="AE179" i="2" s="1"/>
  <c r="AA179" i="2"/>
  <c r="AB207" i="2"/>
  <c r="AC207" i="2" s="1"/>
  <c r="AD207" i="2" s="1"/>
  <c r="AE207" i="2" s="1"/>
  <c r="AA207" i="2"/>
  <c r="AB194" i="2"/>
  <c r="AC194" i="2" s="1"/>
  <c r="AD194" i="2" s="1"/>
  <c r="AE194" i="2" s="1"/>
  <c r="AA194" i="2"/>
  <c r="AB206" i="2"/>
  <c r="AC206" i="2" s="1"/>
  <c r="AD206" i="2" s="1"/>
  <c r="AE206" i="2" s="1"/>
  <c r="AA206" i="2"/>
  <c r="AB186" i="2"/>
  <c r="AC186" i="2" s="1"/>
  <c r="AD186" i="2" s="1"/>
  <c r="AE186" i="2" s="1"/>
  <c r="AA186" i="2"/>
  <c r="AB199" i="2"/>
  <c r="AC199" i="2" s="1"/>
  <c r="AD199" i="2" s="1"/>
  <c r="AE199" i="2" s="1"/>
  <c r="AA199" i="2"/>
  <c r="AB200" i="2"/>
  <c r="AC200" i="2" s="1"/>
  <c r="AD200" i="2" s="1"/>
  <c r="AE200" i="2" s="1"/>
  <c r="AA200" i="2"/>
  <c r="AB187" i="2"/>
  <c r="AC187" i="2" s="1"/>
  <c r="AD187" i="2" s="1"/>
  <c r="AE187" i="2" s="1"/>
  <c r="AA187" i="2"/>
  <c r="AB205" i="2"/>
  <c r="AC205" i="2" s="1"/>
  <c r="AD205" i="2" s="1"/>
  <c r="AE205" i="2" s="1"/>
  <c r="AA205" i="2"/>
  <c r="W274" i="2"/>
  <c r="Y274" i="2" s="1"/>
  <c r="Z274" i="2" s="1"/>
  <c r="AB274" i="2" s="1"/>
  <c r="AC274" i="2" s="1"/>
  <c r="AD274" i="2" s="1"/>
  <c r="AE274" i="2" s="1"/>
  <c r="AG274" i="2" s="1"/>
  <c r="AH274" i="2" s="1"/>
  <c r="AI274" i="2" s="1"/>
  <c r="AJ274" i="2" s="1"/>
  <c r="AL274" i="2" s="1"/>
  <c r="AM274" i="2" s="1"/>
  <c r="U196" i="2"/>
  <c r="U203" i="2" s="1"/>
  <c r="U215" i="2" s="1"/>
  <c r="V192" i="2"/>
  <c r="X184" i="2"/>
  <c r="Y184" i="2" s="1"/>
  <c r="Z184" i="2" s="1"/>
  <c r="W285" i="2"/>
  <c r="W286" i="2"/>
  <c r="X192" i="2"/>
  <c r="Y192" i="2" s="1"/>
  <c r="Z192" i="2" s="1"/>
  <c r="Y208" i="2"/>
  <c r="X212" i="2"/>
  <c r="W201" i="2"/>
  <c r="W188" i="2"/>
  <c r="O203" i="2"/>
  <c r="O215" i="2" s="1"/>
  <c r="W181" i="2"/>
  <c r="H251" i="2"/>
  <c r="W196" i="2"/>
  <c r="W210" i="2"/>
  <c r="W213" i="2" s="1"/>
  <c r="J251" i="2"/>
  <c r="J281" i="2" s="1"/>
  <c r="I251" i="2"/>
  <c r="M251" i="2"/>
  <c r="M270" i="2" s="1"/>
  <c r="N251" i="2"/>
  <c r="N281" i="2" s="1"/>
  <c r="W251" i="2"/>
  <c r="W281" i="2" s="1"/>
  <c r="W268" i="2"/>
  <c r="T282" i="2"/>
  <c r="R283" i="2"/>
  <c r="R270" i="2"/>
  <c r="T259" i="2"/>
  <c r="S241" i="2"/>
  <c r="S251" i="2" s="1"/>
  <c r="T268" i="2"/>
  <c r="S259" i="2"/>
  <c r="O251" i="2"/>
  <c r="O281" i="2" s="1"/>
  <c r="N268" i="2"/>
  <c r="O268" i="2"/>
  <c r="N282" i="2"/>
  <c r="O282" i="2"/>
  <c r="J282" i="2"/>
  <c r="M190" i="2"/>
  <c r="H203" i="2"/>
  <c r="H215" i="2" s="1"/>
  <c r="P190" i="2"/>
  <c r="J190" i="2"/>
  <c r="T203" i="2"/>
  <c r="T215" i="2" s="1"/>
  <c r="I190" i="2"/>
  <c r="H190" i="2"/>
  <c r="R203" i="2"/>
  <c r="R215" i="2" s="1"/>
  <c r="S203" i="2"/>
  <c r="S215" i="2" s="1"/>
  <c r="N203" i="2"/>
  <c r="N215" i="2" s="1"/>
  <c r="K203" i="2"/>
  <c r="K215" i="2" s="1"/>
  <c r="N190" i="2"/>
  <c r="T190" i="2"/>
  <c r="K190" i="2"/>
  <c r="O190" i="2"/>
  <c r="U190" i="2"/>
  <c r="P203" i="2"/>
  <c r="P215" i="2" s="1"/>
  <c r="R190" i="2"/>
  <c r="J203" i="2"/>
  <c r="J215" i="2" s="1"/>
  <c r="J217" i="2" s="1"/>
  <c r="M203" i="2"/>
  <c r="M215" i="2" s="1"/>
  <c r="S190" i="2"/>
  <c r="V196" i="2" l="1"/>
  <c r="V203" i="2" s="1"/>
  <c r="V215" i="2" s="1"/>
  <c r="V217" i="2" s="1"/>
  <c r="V290" i="2"/>
  <c r="Y198" i="2"/>
  <c r="X201" i="2"/>
  <c r="AN274" i="2"/>
  <c r="R217" i="2"/>
  <c r="M217" i="2"/>
  <c r="T217" i="2"/>
  <c r="U217" i="2"/>
  <c r="K217" i="2"/>
  <c r="I217" i="2"/>
  <c r="P217" i="2"/>
  <c r="N217" i="2"/>
  <c r="H217" i="2"/>
  <c r="S217" i="2"/>
  <c r="O217" i="2"/>
  <c r="AG200" i="2"/>
  <c r="AH200" i="2" s="1"/>
  <c r="AI200" i="2" s="1"/>
  <c r="AJ200" i="2" s="1"/>
  <c r="AF200" i="2"/>
  <c r="AG206" i="2"/>
  <c r="AH206" i="2" s="1"/>
  <c r="AI206" i="2" s="1"/>
  <c r="AJ206" i="2" s="1"/>
  <c r="AF206" i="2"/>
  <c r="AG199" i="2"/>
  <c r="AH199" i="2" s="1"/>
  <c r="AI199" i="2" s="1"/>
  <c r="AJ199" i="2" s="1"/>
  <c r="AF199" i="2"/>
  <c r="AG194" i="2"/>
  <c r="AH194" i="2" s="1"/>
  <c r="AI194" i="2" s="1"/>
  <c r="AJ194" i="2" s="1"/>
  <c r="AF194" i="2"/>
  <c r="AG205" i="2"/>
  <c r="AH205" i="2" s="1"/>
  <c r="AI205" i="2" s="1"/>
  <c r="AJ205" i="2" s="1"/>
  <c r="AF205" i="2"/>
  <c r="AG186" i="2"/>
  <c r="AH186" i="2" s="1"/>
  <c r="AI186" i="2" s="1"/>
  <c r="AJ186" i="2" s="1"/>
  <c r="AF186" i="2"/>
  <c r="AG207" i="2"/>
  <c r="AH207" i="2" s="1"/>
  <c r="AI207" i="2" s="1"/>
  <c r="AJ207" i="2" s="1"/>
  <c r="AF207" i="2"/>
  <c r="AG187" i="2"/>
  <c r="AH187" i="2" s="1"/>
  <c r="AI187" i="2" s="1"/>
  <c r="AJ187" i="2" s="1"/>
  <c r="AF187" i="2"/>
  <c r="AG179" i="2"/>
  <c r="AH179" i="2" s="1"/>
  <c r="AI179" i="2" s="1"/>
  <c r="AJ179" i="2" s="1"/>
  <c r="AF179" i="2"/>
  <c r="AB192" i="2"/>
  <c r="AC192" i="2" s="1"/>
  <c r="AD192" i="2" s="1"/>
  <c r="AE192" i="2" s="1"/>
  <c r="AA192" i="2"/>
  <c r="AB184" i="2"/>
  <c r="AC184" i="2" s="1"/>
  <c r="AD184" i="2" s="1"/>
  <c r="AE184" i="2" s="1"/>
  <c r="AA184" i="2"/>
  <c r="Y286" i="2"/>
  <c r="Z208" i="2"/>
  <c r="AA208" i="2" s="1"/>
  <c r="Y212" i="2"/>
  <c r="Y201" i="2"/>
  <c r="W203" i="2"/>
  <c r="W215" i="2" s="1"/>
  <c r="W190" i="2"/>
  <c r="M281" i="2"/>
  <c r="M283" i="2" s="1"/>
  <c r="H281" i="2"/>
  <c r="H283" i="2" s="1"/>
  <c r="H270" i="2"/>
  <c r="N283" i="2"/>
  <c r="J283" i="2"/>
  <c r="N270" i="2"/>
  <c r="I281" i="2"/>
  <c r="I283" i="2" s="1"/>
  <c r="I270" i="2"/>
  <c r="O270" i="2"/>
  <c r="W270" i="2"/>
  <c r="S281" i="2"/>
  <c r="S270" i="2"/>
  <c r="T241" i="2"/>
  <c r="T251" i="2" s="1"/>
  <c r="U241" i="2"/>
  <c r="U251" i="2" s="1"/>
  <c r="U281" i="2" s="1"/>
  <c r="U259" i="2"/>
  <c r="U282" i="2"/>
  <c r="U268" i="2"/>
  <c r="O283" i="2"/>
  <c r="K259" i="2"/>
  <c r="K282" i="2"/>
  <c r="K241" i="2"/>
  <c r="K251" i="2" s="1"/>
  <c r="K281" i="2" s="1"/>
  <c r="K268" i="2"/>
  <c r="J268" i="2"/>
  <c r="J270" i="2" s="1"/>
  <c r="Z198" i="2" l="1"/>
  <c r="W217" i="2"/>
  <c r="AK187" i="2"/>
  <c r="AL187" i="2" s="1"/>
  <c r="AM187" i="2" s="1"/>
  <c r="AN187" i="2" s="1"/>
  <c r="AK194" i="2"/>
  <c r="AL194" i="2" s="1"/>
  <c r="AM194" i="2" s="1"/>
  <c r="AK199" i="2"/>
  <c r="AL199" i="2" s="1"/>
  <c r="AM199" i="2" s="1"/>
  <c r="AN199" i="2" s="1"/>
  <c r="AK207" i="2"/>
  <c r="AL207" i="2" s="1"/>
  <c r="AM207" i="2" s="1"/>
  <c r="AN207" i="2" s="1"/>
  <c r="AK179" i="2"/>
  <c r="AL179" i="2" s="1"/>
  <c r="AM179" i="2" s="1"/>
  <c r="AN179" i="2" s="1"/>
  <c r="AK186" i="2"/>
  <c r="AL186" i="2" s="1"/>
  <c r="AM186" i="2" s="1"/>
  <c r="AN186" i="2" s="1"/>
  <c r="AK206" i="2"/>
  <c r="AL206" i="2" s="1"/>
  <c r="AM206" i="2" s="1"/>
  <c r="AN206" i="2" s="1"/>
  <c r="AK205" i="2"/>
  <c r="AL205" i="2" s="1"/>
  <c r="AM205" i="2" s="1"/>
  <c r="AK200" i="2"/>
  <c r="AL200" i="2" s="1"/>
  <c r="AM200" i="2" s="1"/>
  <c r="AN200" i="2" s="1"/>
  <c r="AG184" i="2"/>
  <c r="AH184" i="2" s="1"/>
  <c r="AI184" i="2" s="1"/>
  <c r="AJ184" i="2" s="1"/>
  <c r="AF184" i="2"/>
  <c r="AG192" i="2"/>
  <c r="AH192" i="2" s="1"/>
  <c r="AI192" i="2" s="1"/>
  <c r="AJ192" i="2" s="1"/>
  <c r="AF192" i="2"/>
  <c r="Z286" i="2"/>
  <c r="Z201" i="2"/>
  <c r="AB208" i="2"/>
  <c r="Z212" i="2"/>
  <c r="AA212" i="2" s="1"/>
  <c r="U270" i="2"/>
  <c r="W283" i="2"/>
  <c r="T270" i="2"/>
  <c r="T281" i="2"/>
  <c r="S283" i="2"/>
  <c r="K283" i="2"/>
  <c r="K270" i="2"/>
  <c r="AB198" i="2" l="1"/>
  <c r="AA198" i="2"/>
  <c r="AN205" i="2"/>
  <c r="AN194" i="2"/>
  <c r="AK192" i="2"/>
  <c r="AL192" i="2" s="1"/>
  <c r="AM192" i="2" s="1"/>
  <c r="AN192" i="2" s="1"/>
  <c r="AK184" i="2"/>
  <c r="AL184" i="2" s="1"/>
  <c r="AM184" i="2" s="1"/>
  <c r="AN184" i="2" s="1"/>
  <c r="AB286" i="2"/>
  <c r="AC208" i="2"/>
  <c r="AB212" i="2"/>
  <c r="AB201" i="2"/>
  <c r="U283" i="2"/>
  <c r="T283" i="2"/>
  <c r="AA201" i="2" l="1"/>
  <c r="AC198" i="2"/>
  <c r="AC286" i="2"/>
  <c r="AD208" i="2"/>
  <c r="AC212" i="2"/>
  <c r="AC201" i="2"/>
  <c r="AD198" i="2" l="1"/>
  <c r="AD286" i="2"/>
  <c r="AD201" i="2"/>
  <c r="AE208" i="2"/>
  <c r="AF208" i="2" s="1"/>
  <c r="AD212" i="2"/>
  <c r="AE198" i="2" l="1"/>
  <c r="AE201" i="2" s="1"/>
  <c r="AE286" i="2"/>
  <c r="AG208" i="2"/>
  <c r="AE212" i="2"/>
  <c r="AF212" i="2" s="1"/>
  <c r="AG198" i="2" l="1"/>
  <c r="AF198" i="2"/>
  <c r="AG286" i="2"/>
  <c r="AH208" i="2"/>
  <c r="AG212" i="2"/>
  <c r="AG201" i="2"/>
  <c r="AH198" i="2" l="1"/>
  <c r="AH201" i="2" s="1"/>
  <c r="AF201" i="2"/>
  <c r="AH286" i="2"/>
  <c r="AI208" i="2"/>
  <c r="AH212" i="2"/>
  <c r="AI198" i="2" l="1"/>
  <c r="AI286" i="2"/>
  <c r="AI201" i="2"/>
  <c r="AJ208" i="2"/>
  <c r="AK208" i="2" s="1"/>
  <c r="AM208" i="2" s="1"/>
  <c r="AI212" i="2"/>
  <c r="AJ198" i="2" l="1"/>
  <c r="AM212" i="2"/>
  <c r="AJ286" i="2"/>
  <c r="AL286" i="2" s="1"/>
  <c r="AM286" i="2" s="1"/>
  <c r="AN286" i="2" s="1"/>
  <c r="AJ201" i="2"/>
  <c r="AL208" i="2"/>
  <c r="AJ212" i="2"/>
  <c r="AK212" i="2" s="1"/>
  <c r="AK198" i="2" l="1"/>
  <c r="AL212" i="2"/>
  <c r="AN208" i="2"/>
  <c r="AL198" i="2" l="1"/>
  <c r="AK201" i="2"/>
  <c r="AN212" i="2"/>
  <c r="X142" i="2"/>
  <c r="AM198" i="2" l="1"/>
  <c r="AL201" i="2"/>
  <c r="Y142" i="2"/>
  <c r="Z142" i="2" s="1"/>
  <c r="AB142" i="2" s="1"/>
  <c r="W120" i="2"/>
  <c r="W151" i="2" s="1"/>
  <c r="W145" i="2"/>
  <c r="W148" i="2"/>
  <c r="X148" i="2" s="1"/>
  <c r="Y148" i="2" s="1"/>
  <c r="Z148" i="2" s="1"/>
  <c r="U142" i="2"/>
  <c r="V142" i="2" s="1"/>
  <c r="N17" i="26" s="1"/>
  <c r="N19" i="26" s="1"/>
  <c r="G17" i="26" s="1"/>
  <c r="U140" i="2"/>
  <c r="V140" i="2" s="1"/>
  <c r="U139" i="2"/>
  <c r="V139" i="2" s="1"/>
  <c r="U138" i="2"/>
  <c r="P142" i="2"/>
  <c r="Q142" i="2" s="1"/>
  <c r="P140" i="2"/>
  <c r="Q140" i="2" s="1"/>
  <c r="P139" i="2"/>
  <c r="Q139" i="2" s="1"/>
  <c r="P138" i="2"/>
  <c r="AN198" i="2" l="1"/>
  <c r="AM201" i="2"/>
  <c r="H17" i="26"/>
  <c r="H19" i="26" s="1"/>
  <c r="H21" i="26" s="1"/>
  <c r="H23" i="26" s="1"/>
  <c r="G19" i="26"/>
  <c r="G21" i="26" s="1"/>
  <c r="G23" i="26" s="1"/>
  <c r="G25" i="26" s="1"/>
  <c r="G26" i="26" s="1"/>
  <c r="X145" i="2"/>
  <c r="Y145" i="2" s="1"/>
  <c r="Z145" i="2" s="1"/>
  <c r="V138" i="2"/>
  <c r="V141" i="2" s="1"/>
  <c r="U141" i="2"/>
  <c r="Q138" i="2"/>
  <c r="Q141" i="2" s="1"/>
  <c r="P141" i="2"/>
  <c r="AA142" i="2"/>
  <c r="AC142" i="2"/>
  <c r="AD142" i="2" s="1"/>
  <c r="AE142" i="2" s="1"/>
  <c r="AG142" i="2" s="1"/>
  <c r="W273" i="2"/>
  <c r="W220" i="2"/>
  <c r="X220" i="2" s="1"/>
  <c r="Y220" i="2" s="1"/>
  <c r="Z220" i="2" s="1"/>
  <c r="AB220" i="2" s="1"/>
  <c r="AC220" i="2" s="1"/>
  <c r="AD220" i="2" s="1"/>
  <c r="AE220" i="2" s="1"/>
  <c r="AG220" i="2" s="1"/>
  <c r="AH220" i="2" s="1"/>
  <c r="AI220" i="2" s="1"/>
  <c r="AJ220" i="2" s="1"/>
  <c r="W224" i="2"/>
  <c r="W222" i="2"/>
  <c r="X222" i="2" s="1"/>
  <c r="Y222" i="2" s="1"/>
  <c r="Z222" i="2" s="1"/>
  <c r="AB222" i="2" s="1"/>
  <c r="AC222" i="2" s="1"/>
  <c r="AD222" i="2" s="1"/>
  <c r="AE222" i="2" s="1"/>
  <c r="AG222" i="2" s="1"/>
  <c r="AH222" i="2" s="1"/>
  <c r="AI222" i="2" s="1"/>
  <c r="AJ222" i="2" s="1"/>
  <c r="W221" i="2"/>
  <c r="X221" i="2" s="1"/>
  <c r="W223" i="2"/>
  <c r="X223" i="2" s="1"/>
  <c r="R156" i="2"/>
  <c r="S156" i="2"/>
  <c r="W156" i="2"/>
  <c r="O156" i="2"/>
  <c r="T156" i="2"/>
  <c r="W153" i="2"/>
  <c r="X153" i="2" s="1"/>
  <c r="O158" i="2"/>
  <c r="W158" i="2"/>
  <c r="R158" i="2"/>
  <c r="T158" i="2"/>
  <c r="S158" i="2"/>
  <c r="AN201" i="2" l="1"/>
  <c r="V168" i="2"/>
  <c r="V170" i="2" s="1"/>
  <c r="V291" i="2" s="1"/>
  <c r="V292" i="2" s="1"/>
  <c r="V293" i="2" s="1"/>
  <c r="AB145" i="2"/>
  <c r="AC145" i="2" s="1"/>
  <c r="AD145" i="2" s="1"/>
  <c r="AE145" i="2" s="1"/>
  <c r="AG145" i="2" s="1"/>
  <c r="AH145" i="2" s="1"/>
  <c r="AI145" i="2" s="1"/>
  <c r="AJ145" i="2" s="1"/>
  <c r="P143" i="2"/>
  <c r="P156" i="2" s="1"/>
  <c r="P168" i="2"/>
  <c r="P170" i="2" s="1"/>
  <c r="P291" i="2" s="1"/>
  <c r="Q143" i="2"/>
  <c r="Q158" i="2" s="1"/>
  <c r="Q162" i="2" s="1"/>
  <c r="Q168" i="2"/>
  <c r="Q170" i="2" s="1"/>
  <c r="Q291" i="2" s="1"/>
  <c r="Q292" i="2" s="1"/>
  <c r="Q293" i="2" s="1"/>
  <c r="U143" i="2"/>
  <c r="U156" i="2" s="1"/>
  <c r="U168" i="2"/>
  <c r="U170" i="2" s="1"/>
  <c r="U291" i="2" s="1"/>
  <c r="C19" i="17"/>
  <c r="C26" i="17" s="1"/>
  <c r="C27" i="17" s="1"/>
  <c r="V143" i="2"/>
  <c r="V156" i="2" s="1"/>
  <c r="AF142" i="2"/>
  <c r="AH142" i="2"/>
  <c r="AI142" i="2" s="1"/>
  <c r="AJ142" i="2" s="1"/>
  <c r="Y223" i="2"/>
  <c r="Y273" i="2"/>
  <c r="Y221" i="2"/>
  <c r="X224" i="2"/>
  <c r="Y156" i="2"/>
  <c r="Y153" i="2"/>
  <c r="T292" i="2" l="1"/>
  <c r="T293" i="2" s="1"/>
  <c r="S292" i="2"/>
  <c r="S293" i="2" s="1"/>
  <c r="R292" i="2"/>
  <c r="R293" i="2" s="1"/>
  <c r="U292" i="2"/>
  <c r="U293" i="2" s="1"/>
  <c r="W292" i="2"/>
  <c r="W293" i="2" s="1"/>
  <c r="Q156" i="2"/>
  <c r="P158" i="2"/>
  <c r="U158" i="2"/>
  <c r="V158" i="2"/>
  <c r="V162" i="2" s="1"/>
  <c r="AK142" i="2"/>
  <c r="AL142" i="2" s="1"/>
  <c r="AM142" i="2" s="1"/>
  <c r="AN142" i="2" s="1"/>
  <c r="Z223" i="2"/>
  <c r="Z273" i="2"/>
  <c r="Z221" i="2"/>
  <c r="Y224" i="2"/>
  <c r="Z156" i="2"/>
  <c r="Z153" i="2"/>
  <c r="N156" i="2"/>
  <c r="M156" i="2"/>
  <c r="K142" i="2"/>
  <c r="L142" i="2" s="1"/>
  <c r="K140" i="2"/>
  <c r="L140" i="2" s="1"/>
  <c r="K139" i="2"/>
  <c r="L139" i="2" s="1"/>
  <c r="K138" i="2"/>
  <c r="J156" i="2"/>
  <c r="I156" i="2"/>
  <c r="H156" i="2"/>
  <c r="X51" i="2"/>
  <c r="X47" i="2"/>
  <c r="X45" i="2"/>
  <c r="X38" i="2"/>
  <c r="X82" i="2" s="1"/>
  <c r="X37" i="2"/>
  <c r="X81" i="2" s="1"/>
  <c r="X36" i="2"/>
  <c r="X80" i="2" s="1"/>
  <c r="X32" i="2"/>
  <c r="X76" i="2" s="1"/>
  <c r="X31" i="2"/>
  <c r="X75" i="2" s="1"/>
  <c r="AH50" i="2"/>
  <c r="AI50" i="2" s="1"/>
  <c r="AJ50" i="2" s="1"/>
  <c r="W100" i="2"/>
  <c r="U100" i="2"/>
  <c r="T100" i="2"/>
  <c r="S100" i="2"/>
  <c r="R100" i="2"/>
  <c r="P100" i="2"/>
  <c r="O100" i="2"/>
  <c r="N100" i="2"/>
  <c r="M100" i="2"/>
  <c r="K100" i="2"/>
  <c r="J100" i="2"/>
  <c r="I100" i="2"/>
  <c r="H100" i="2"/>
  <c r="W96" i="2"/>
  <c r="U96" i="2"/>
  <c r="T96" i="2"/>
  <c r="S96" i="2"/>
  <c r="R96" i="2"/>
  <c r="P96" i="2"/>
  <c r="O96" i="2"/>
  <c r="N96" i="2"/>
  <c r="M96" i="2"/>
  <c r="K96" i="2"/>
  <c r="J96" i="2"/>
  <c r="I96" i="2"/>
  <c r="W94" i="2"/>
  <c r="U94" i="2"/>
  <c r="T94" i="2"/>
  <c r="S94" i="2"/>
  <c r="R94" i="2"/>
  <c r="P94" i="2"/>
  <c r="O94" i="2"/>
  <c r="N94" i="2"/>
  <c r="M94" i="2"/>
  <c r="K94" i="2"/>
  <c r="J94" i="2"/>
  <c r="I94" i="2"/>
  <c r="H94" i="2"/>
  <c r="H50" i="2"/>
  <c r="M50" i="2"/>
  <c r="T49" i="2"/>
  <c r="T98" i="2" s="1"/>
  <c r="S49" i="2"/>
  <c r="S98" i="2" s="1"/>
  <c r="R49" i="2"/>
  <c r="W49" i="2"/>
  <c r="R50" i="2"/>
  <c r="P49" i="2"/>
  <c r="P98" i="2" s="1"/>
  <c r="U49" i="2"/>
  <c r="U98" i="2" s="1"/>
  <c r="O49" i="2"/>
  <c r="O98" i="2" s="1"/>
  <c r="J49" i="2"/>
  <c r="J98" i="2" s="1"/>
  <c r="K49" i="2"/>
  <c r="K98" i="2" s="1"/>
  <c r="M49" i="2"/>
  <c r="H49" i="2"/>
  <c r="H47" i="2"/>
  <c r="N49" i="2"/>
  <c r="N98" i="2" s="1"/>
  <c r="I49" i="2"/>
  <c r="I98" i="2" s="1"/>
  <c r="G7" i="10"/>
  <c r="X50" i="2" s="1"/>
  <c r="Y50" i="2" s="1"/>
  <c r="Z50" i="2" s="1"/>
  <c r="AB50" i="2" s="1"/>
  <c r="H7" i="10"/>
  <c r="AC50" i="2" s="1"/>
  <c r="AC99" i="2" s="1"/>
  <c r="W50" i="2"/>
  <c r="L39" i="2" l="1"/>
  <c r="L138" i="2"/>
  <c r="L141" i="2" s="1"/>
  <c r="K141" i="2"/>
  <c r="L40" i="2"/>
  <c r="L42" i="2" s="1"/>
  <c r="X77" i="2"/>
  <c r="V39" i="2"/>
  <c r="V40" i="2"/>
  <c r="Y37" i="2"/>
  <c r="Q40" i="2"/>
  <c r="Y36" i="2"/>
  <c r="Q39" i="2"/>
  <c r="Y31" i="2"/>
  <c r="Y32" i="2"/>
  <c r="AB99" i="2"/>
  <c r="X39" i="2"/>
  <c r="U50" i="2"/>
  <c r="U54" i="2" s="1"/>
  <c r="AA50" i="2"/>
  <c r="Y38" i="2"/>
  <c r="W98" i="2"/>
  <c r="X94" i="2"/>
  <c r="Y47" i="2"/>
  <c r="Z47" i="2" s="1"/>
  <c r="Y51" i="2"/>
  <c r="Z51" i="2" s="1"/>
  <c r="X40" i="2"/>
  <c r="V94" i="2"/>
  <c r="R99" i="2"/>
  <c r="V96" i="2"/>
  <c r="R98" i="2"/>
  <c r="V98" i="2" s="1"/>
  <c r="V49" i="2"/>
  <c r="V100" i="2"/>
  <c r="Q100" i="2"/>
  <c r="K50" i="2"/>
  <c r="K99" i="2" s="1"/>
  <c r="K103" i="2" s="1"/>
  <c r="L94" i="2"/>
  <c r="H96" i="2"/>
  <c r="L96" i="2" s="1"/>
  <c r="L47" i="2"/>
  <c r="H98" i="2"/>
  <c r="L98" i="2" s="1"/>
  <c r="L49" i="2"/>
  <c r="M98" i="2"/>
  <c r="Q98" i="2" s="1"/>
  <c r="Q49" i="2"/>
  <c r="L100" i="2"/>
  <c r="Q94" i="2"/>
  <c r="Q96" i="2"/>
  <c r="AB223" i="2"/>
  <c r="AB273" i="2"/>
  <c r="Z224" i="2"/>
  <c r="AB221" i="2"/>
  <c r="AB148" i="2"/>
  <c r="AC148" i="2" s="1"/>
  <c r="AD148" i="2" s="1"/>
  <c r="AE148" i="2" s="1"/>
  <c r="AG148" i="2" s="1"/>
  <c r="AH148" i="2" s="1"/>
  <c r="AI148" i="2" s="1"/>
  <c r="AJ148" i="2" s="1"/>
  <c r="AB156" i="2"/>
  <c r="AB153" i="2"/>
  <c r="J158" i="2"/>
  <c r="M158" i="2"/>
  <c r="H158" i="2"/>
  <c r="N158" i="2"/>
  <c r="I158" i="2"/>
  <c r="X33" i="2"/>
  <c r="AD50" i="2"/>
  <c r="AE50" i="2" s="1"/>
  <c r="AG50" i="2" s="1"/>
  <c r="X100" i="2"/>
  <c r="AJ99" i="2"/>
  <c r="Z99" i="2"/>
  <c r="H54" i="2"/>
  <c r="R54" i="2"/>
  <c r="AI99" i="2"/>
  <c r="Y99" i="2"/>
  <c r="AH99" i="2"/>
  <c r="X99" i="2"/>
  <c r="X49" i="2"/>
  <c r="X54" i="2" s="1"/>
  <c r="M54" i="2"/>
  <c r="W54" i="2"/>
  <c r="H99" i="2"/>
  <c r="X96" i="2"/>
  <c r="Y45" i="2"/>
  <c r="M99" i="2"/>
  <c r="W99" i="2"/>
  <c r="P50" i="2"/>
  <c r="P54" i="2" s="1"/>
  <c r="K143" i="2" l="1"/>
  <c r="K156" i="2" s="1"/>
  <c r="K168" i="2"/>
  <c r="K170" i="2" s="1"/>
  <c r="L143" i="2"/>
  <c r="L158" i="2" s="1"/>
  <c r="L162" i="2" s="1"/>
  <c r="L168" i="2"/>
  <c r="L170" i="2" s="1"/>
  <c r="L291" i="2" s="1"/>
  <c r="Z32" i="2"/>
  <c r="Y76" i="2"/>
  <c r="Z37" i="2"/>
  <c r="Y81" i="2"/>
  <c r="Y33" i="2"/>
  <c r="Z38" i="2"/>
  <c r="Y82" i="2"/>
  <c r="Y39" i="2"/>
  <c r="X83" i="2"/>
  <c r="Z31" i="2"/>
  <c r="Y75" i="2"/>
  <c r="Y40" i="2"/>
  <c r="X84" i="2"/>
  <c r="Z36" i="2"/>
  <c r="Y80" i="2"/>
  <c r="X42" i="2"/>
  <c r="AA32" i="2"/>
  <c r="Q42" i="2"/>
  <c r="K54" i="2"/>
  <c r="Y96" i="2"/>
  <c r="Y100" i="2"/>
  <c r="J50" i="2"/>
  <c r="J54" i="2" s="1"/>
  <c r="T50" i="2"/>
  <c r="T54" i="2" s="1"/>
  <c r="AG99" i="2"/>
  <c r="AK99" i="2" s="1"/>
  <c r="AK50" i="2"/>
  <c r="AL50" i="2" s="1"/>
  <c r="U99" i="2"/>
  <c r="U103" i="2" s="1"/>
  <c r="AF50" i="2"/>
  <c r="AA51" i="2"/>
  <c r="AA47" i="2"/>
  <c r="W103" i="2"/>
  <c r="AA99" i="2"/>
  <c r="R103" i="2"/>
  <c r="R105" i="2" s="1"/>
  <c r="X105" i="2" s="1"/>
  <c r="V42" i="2"/>
  <c r="H103" i="2"/>
  <c r="H105" i="2" s="1"/>
  <c r="M103" i="2"/>
  <c r="M105" i="2" s="1"/>
  <c r="AC223" i="2"/>
  <c r="AC273" i="2"/>
  <c r="AC221" i="2"/>
  <c r="AB224" i="2"/>
  <c r="AC156" i="2"/>
  <c r="AC153" i="2"/>
  <c r="K158" i="2"/>
  <c r="AD99" i="2"/>
  <c r="AE99" i="2"/>
  <c r="Y49" i="2"/>
  <c r="Y54" i="2" s="1"/>
  <c r="X98" i="2"/>
  <c r="X103" i="2" s="1"/>
  <c r="AB51" i="2"/>
  <c r="Z100" i="2"/>
  <c r="AB47" i="2"/>
  <c r="Z96" i="2"/>
  <c r="Z45" i="2"/>
  <c r="AA45" i="2" s="1"/>
  <c r="Y94" i="2"/>
  <c r="O50" i="2"/>
  <c r="O54" i="2" s="1"/>
  <c r="P99" i="2"/>
  <c r="P103" i="2" s="1"/>
  <c r="L156" i="2" l="1"/>
  <c r="Y77" i="2"/>
  <c r="Y42" i="2"/>
  <c r="AB36" i="2"/>
  <c r="Z80" i="2"/>
  <c r="AB38" i="2"/>
  <c r="Z82" i="2"/>
  <c r="AA38" i="2"/>
  <c r="Z40" i="2"/>
  <c r="Y84" i="2"/>
  <c r="AM50" i="2"/>
  <c r="AL99" i="2"/>
  <c r="AB37" i="2"/>
  <c r="Z81" i="2"/>
  <c r="AA37" i="2"/>
  <c r="AB31" i="2"/>
  <c r="Z75" i="2"/>
  <c r="Z33" i="2"/>
  <c r="AA36" i="2"/>
  <c r="X86" i="2"/>
  <c r="Z76" i="2"/>
  <c r="AB32" i="2"/>
  <c r="Z39" i="2"/>
  <c r="Y83" i="2"/>
  <c r="AA31" i="2"/>
  <c r="AA33" i="2" s="1"/>
  <c r="J99" i="2"/>
  <c r="J103" i="2" s="1"/>
  <c r="J105" i="2" s="1"/>
  <c r="I50" i="2"/>
  <c r="L50" i="2" s="1"/>
  <c r="L54" i="2" s="1"/>
  <c r="AA100" i="2"/>
  <c r="AA96" i="2"/>
  <c r="S50" i="2"/>
  <c r="V50" i="2" s="1"/>
  <c r="V54" i="2" s="1"/>
  <c r="T99" i="2"/>
  <c r="T103" i="2" s="1"/>
  <c r="T105" i="2" s="1"/>
  <c r="Z105" i="2" s="1"/>
  <c r="AF99" i="2"/>
  <c r="AD223" i="2"/>
  <c r="AC224" i="2"/>
  <c r="AD273" i="2"/>
  <c r="AD221" i="2"/>
  <c r="AD156" i="2"/>
  <c r="AD153" i="2"/>
  <c r="Z49" i="2"/>
  <c r="Y98" i="2"/>
  <c r="Y103" i="2" s="1"/>
  <c r="AB100" i="2"/>
  <c r="AC51" i="2"/>
  <c r="AB96" i="2"/>
  <c r="AC47" i="2"/>
  <c r="AB45" i="2"/>
  <c r="Z94" i="2"/>
  <c r="AA94" i="2" s="1"/>
  <c r="N50" i="2"/>
  <c r="Q50" i="2" s="1"/>
  <c r="Q54" i="2" s="1"/>
  <c r="O99" i="2"/>
  <c r="O103" i="2" s="1"/>
  <c r="O105" i="2" s="1"/>
  <c r="I54" i="2" l="1"/>
  <c r="Y86" i="2"/>
  <c r="Z83" i="2"/>
  <c r="AA39" i="2"/>
  <c r="AB76" i="2"/>
  <c r="AC32" i="2"/>
  <c r="AB81" i="2"/>
  <c r="AC37" i="2"/>
  <c r="AB40" i="2"/>
  <c r="Z84" i="2"/>
  <c r="AA40" i="2"/>
  <c r="AB82" i="2"/>
  <c r="AC38" i="2"/>
  <c r="AM99" i="2"/>
  <c r="AN50" i="2"/>
  <c r="AN99" i="2" s="1"/>
  <c r="AB80" i="2"/>
  <c r="AC36" i="2"/>
  <c r="AB75" i="2"/>
  <c r="AC31" i="2"/>
  <c r="AB33" i="2"/>
  <c r="Z42" i="2"/>
  <c r="Z77" i="2"/>
  <c r="S99" i="2"/>
  <c r="S103" i="2" s="1"/>
  <c r="S105" i="2" s="1"/>
  <c r="Y105" i="2" s="1"/>
  <c r="I99" i="2"/>
  <c r="I103" i="2" s="1"/>
  <c r="I105" i="2" s="1"/>
  <c r="S54" i="2"/>
  <c r="Z54" i="2"/>
  <c r="AA49" i="2"/>
  <c r="AA54" i="2" s="1"/>
  <c r="AD224" i="2"/>
  <c r="AE223" i="2"/>
  <c r="AE273" i="2"/>
  <c r="AE221" i="2"/>
  <c r="AE156" i="2"/>
  <c r="AE153" i="2"/>
  <c r="N99" i="2"/>
  <c r="N54" i="2"/>
  <c r="AB49" i="2"/>
  <c r="Z98" i="2"/>
  <c r="Z103" i="2" s="1"/>
  <c r="AC100" i="2"/>
  <c r="AD51" i="2"/>
  <c r="AC96" i="2"/>
  <c r="AD47" i="2"/>
  <c r="AB94" i="2"/>
  <c r="AC45" i="2"/>
  <c r="AB42" i="2" l="1"/>
  <c r="AB77" i="2"/>
  <c r="V99" i="2"/>
  <c r="V103" i="2" s="1"/>
  <c r="AA42" i="2"/>
  <c r="Z86" i="2"/>
  <c r="AD38" i="2"/>
  <c r="AC82" i="2"/>
  <c r="AD32" i="2"/>
  <c r="AC76" i="2"/>
  <c r="AC75" i="2"/>
  <c r="AD31" i="2"/>
  <c r="AC33" i="2"/>
  <c r="AB84" i="2"/>
  <c r="AC40" i="2"/>
  <c r="AD37" i="2"/>
  <c r="AC81" i="2"/>
  <c r="AB83" i="2"/>
  <c r="AC39" i="2"/>
  <c r="AC80" i="2"/>
  <c r="AD36" i="2"/>
  <c r="L99" i="2"/>
  <c r="L103" i="2" s="1"/>
  <c r="AB54" i="2"/>
  <c r="AA98" i="2"/>
  <c r="AA103" i="2" s="1"/>
  <c r="N103" i="2"/>
  <c r="N105" i="2" s="1"/>
  <c r="Q99" i="2"/>
  <c r="Q103" i="2" s="1"/>
  <c r="AG223" i="2"/>
  <c r="AE224" i="2"/>
  <c r="AG273" i="2"/>
  <c r="AG221" i="2"/>
  <c r="AG156" i="2"/>
  <c r="AG153" i="2"/>
  <c r="AB98" i="2"/>
  <c r="AC49" i="2"/>
  <c r="AE51" i="2"/>
  <c r="AF51" i="2" s="1"/>
  <c r="AD100" i="2"/>
  <c r="AD96" i="2"/>
  <c r="AE47" i="2"/>
  <c r="AF47" i="2" s="1"/>
  <c r="AC94" i="2"/>
  <c r="AD45" i="2"/>
  <c r="AB86" i="2" l="1"/>
  <c r="AC42" i="2"/>
  <c r="AC77" i="2"/>
  <c r="AD80" i="2"/>
  <c r="AE36" i="2"/>
  <c r="AD40" i="2"/>
  <c r="AC84" i="2"/>
  <c r="AE32" i="2"/>
  <c r="AD76" i="2"/>
  <c r="AD75" i="2"/>
  <c r="AD33" i="2"/>
  <c r="AE31" i="2"/>
  <c r="AE37" i="2"/>
  <c r="AD81" i="2"/>
  <c r="AD39" i="2"/>
  <c r="AC83" i="2"/>
  <c r="AE38" i="2"/>
  <c r="AD82" i="2"/>
  <c r="AB103" i="2"/>
  <c r="AG224" i="2"/>
  <c r="AH223" i="2"/>
  <c r="AH273" i="2"/>
  <c r="AH221" i="2"/>
  <c r="AH156" i="2"/>
  <c r="AH153" i="2"/>
  <c r="AC98" i="2"/>
  <c r="AC103" i="2" s="1"/>
  <c r="AD49" i="2"/>
  <c r="AC54" i="2"/>
  <c r="AE100" i="2"/>
  <c r="AF100" i="2" s="1"/>
  <c r="AG51" i="2"/>
  <c r="AG47" i="2"/>
  <c r="AE96" i="2"/>
  <c r="AF96" i="2" s="1"/>
  <c r="AE45" i="2"/>
  <c r="AF45" i="2" s="1"/>
  <c r="AD94" i="2"/>
  <c r="AD42" i="2" l="1"/>
  <c r="AC86" i="2"/>
  <c r="AG38" i="2"/>
  <c r="AE82" i="2"/>
  <c r="AF38" i="2"/>
  <c r="AG32" i="2"/>
  <c r="AE76" i="2"/>
  <c r="AF32" i="2"/>
  <c r="AE39" i="2"/>
  <c r="AD83" i="2"/>
  <c r="AE40" i="2"/>
  <c r="AD84" i="2"/>
  <c r="AF40" i="2"/>
  <c r="AG37" i="2"/>
  <c r="AE81" i="2"/>
  <c r="AF37" i="2"/>
  <c r="AF31" i="2"/>
  <c r="AE75" i="2"/>
  <c r="AE33" i="2"/>
  <c r="AG31" i="2"/>
  <c r="AF36" i="2"/>
  <c r="AE80" i="2"/>
  <c r="AG36" i="2"/>
  <c r="AD77" i="2"/>
  <c r="AI223" i="2"/>
  <c r="AH224" i="2"/>
  <c r="AI273" i="2"/>
  <c r="AI221" i="2"/>
  <c r="AI156" i="2"/>
  <c r="AI153" i="2"/>
  <c r="AE49" i="2"/>
  <c r="AE54" i="2" s="1"/>
  <c r="AD98" i="2"/>
  <c r="AD54" i="2"/>
  <c r="AG100" i="2"/>
  <c r="AH51" i="2"/>
  <c r="AH47" i="2"/>
  <c r="AG96" i="2"/>
  <c r="AE94" i="2"/>
  <c r="AF94" i="2" s="1"/>
  <c r="AG45" i="2"/>
  <c r="AF33" i="2" l="1"/>
  <c r="AE42" i="2"/>
  <c r="AD86" i="2"/>
  <c r="AG81" i="2"/>
  <c r="AH37" i="2"/>
  <c r="AG75" i="2"/>
  <c r="AG33" i="2"/>
  <c r="AH31" i="2"/>
  <c r="AG39" i="2"/>
  <c r="AE83" i="2"/>
  <c r="AG76" i="2"/>
  <c r="AH32" i="2"/>
  <c r="AG40" i="2"/>
  <c r="AE84" i="2"/>
  <c r="AG80" i="2"/>
  <c r="AH36" i="2"/>
  <c r="AE77" i="2"/>
  <c r="AF39" i="2"/>
  <c r="AF42" i="2" s="1"/>
  <c r="AG82" i="2"/>
  <c r="AH38" i="2"/>
  <c r="AD103" i="2"/>
  <c r="AF49" i="2"/>
  <c r="AF54" i="2" s="1"/>
  <c r="AI224" i="2"/>
  <c r="AJ223" i="2"/>
  <c r="AJ273" i="2"/>
  <c r="AJ221" i="2"/>
  <c r="AJ156" i="2"/>
  <c r="AJ153" i="2"/>
  <c r="AE98" i="2"/>
  <c r="AE103" i="2" s="1"/>
  <c r="AG49" i="2"/>
  <c r="AH100" i="2"/>
  <c r="AI51" i="2"/>
  <c r="AI47" i="2"/>
  <c r="AH96" i="2"/>
  <c r="AG94" i="2"/>
  <c r="AH45" i="2"/>
  <c r="AE86" i="2" l="1"/>
  <c r="AG77" i="2"/>
  <c r="AH75" i="2"/>
  <c r="AI31" i="2"/>
  <c r="AH33" i="2"/>
  <c r="AG84" i="2"/>
  <c r="AH40" i="2"/>
  <c r="AG83" i="2"/>
  <c r="AH39" i="2"/>
  <c r="AI32" i="2"/>
  <c r="AH76" i="2"/>
  <c r="AH80" i="2"/>
  <c r="AI36" i="2"/>
  <c r="AI38" i="2"/>
  <c r="AH82" i="2"/>
  <c r="AI37" i="2"/>
  <c r="AH81" i="2"/>
  <c r="AG42" i="2"/>
  <c r="AG54" i="2"/>
  <c r="AF98" i="2"/>
  <c r="AF103" i="2" s="1"/>
  <c r="AJ224" i="2"/>
  <c r="AL273" i="2"/>
  <c r="AM273" i="2" s="1"/>
  <c r="AN273" i="2" s="1"/>
  <c r="AL156" i="2"/>
  <c r="AM156" i="2" s="1"/>
  <c r="AN156" i="2" s="1"/>
  <c r="AH49" i="2"/>
  <c r="AH54" i="2" s="1"/>
  <c r="AG98" i="2"/>
  <c r="AJ51" i="2"/>
  <c r="AK51" i="2" s="1"/>
  <c r="AL51" i="2" s="1"/>
  <c r="AM51" i="2" s="1"/>
  <c r="AI100" i="2"/>
  <c r="AJ47" i="2"/>
  <c r="AK47" i="2" s="1"/>
  <c r="AL47" i="2" s="1"/>
  <c r="AM47" i="2" s="1"/>
  <c r="AI96" i="2"/>
  <c r="AH94" i="2"/>
  <c r="AI45" i="2"/>
  <c r="AG86" i="2" l="1"/>
  <c r="AH42" i="2"/>
  <c r="AI40" i="2"/>
  <c r="AH84" i="2"/>
  <c r="AI80" i="2"/>
  <c r="AJ36" i="2"/>
  <c r="AN51" i="2"/>
  <c r="AN100" i="2" s="1"/>
  <c r="AM100" i="2"/>
  <c r="AJ38" i="2"/>
  <c r="AJ82" i="2" s="1"/>
  <c r="AI82" i="2"/>
  <c r="AJ32" i="2"/>
  <c r="AJ76" i="2" s="1"/>
  <c r="AI76" i="2"/>
  <c r="AI75" i="2"/>
  <c r="AI33" i="2"/>
  <c r="AJ31" i="2"/>
  <c r="AN47" i="2"/>
  <c r="AN96" i="2" s="1"/>
  <c r="AM96" i="2"/>
  <c r="AJ37" i="2"/>
  <c r="AJ81" i="2" s="1"/>
  <c r="AI81" i="2"/>
  <c r="AH77" i="2"/>
  <c r="AI39" i="2"/>
  <c r="AI42" i="2" s="1"/>
  <c r="AH83" i="2"/>
  <c r="AH86" i="2" s="1"/>
  <c r="AK32" i="2"/>
  <c r="AG103" i="2"/>
  <c r="AI49" i="2"/>
  <c r="AH98" i="2"/>
  <c r="AH103" i="2" s="1"/>
  <c r="AL100" i="2"/>
  <c r="AJ100" i="2"/>
  <c r="AK100" i="2" s="1"/>
  <c r="AL96" i="2"/>
  <c r="AJ96" i="2"/>
  <c r="AK96" i="2" s="1"/>
  <c r="AJ45" i="2"/>
  <c r="AK45" i="2" s="1"/>
  <c r="AL45" i="2" s="1"/>
  <c r="AM45" i="2" s="1"/>
  <c r="AI94" i="2"/>
  <c r="AI77" i="2" l="1"/>
  <c r="AK38" i="2"/>
  <c r="AK37" i="2"/>
  <c r="AK36" i="2"/>
  <c r="AJ80" i="2"/>
  <c r="AK31" i="2"/>
  <c r="AJ75" i="2"/>
  <c r="AJ77" i="2" s="1"/>
  <c r="AJ33" i="2"/>
  <c r="AJ39" i="2"/>
  <c r="AJ83" i="2" s="1"/>
  <c r="AI83" i="2"/>
  <c r="AK82" i="2"/>
  <c r="AL38" i="2"/>
  <c r="AN45" i="2"/>
  <c r="AM94" i="2"/>
  <c r="AK76" i="2"/>
  <c r="AL32" i="2"/>
  <c r="AJ40" i="2"/>
  <c r="AJ84" i="2" s="1"/>
  <c r="AI84" i="2"/>
  <c r="AI86" i="2" s="1"/>
  <c r="AJ49" i="2"/>
  <c r="AJ54" i="2" s="1"/>
  <c r="AI98" i="2"/>
  <c r="AI54" i="2"/>
  <c r="AJ94" i="2"/>
  <c r="AK94" i="2" s="1"/>
  <c r="AK40" i="2" l="1"/>
  <c r="AK84" i="2" s="1"/>
  <c r="AN94" i="2"/>
  <c r="AK33" i="2"/>
  <c r="AL31" i="2"/>
  <c r="AK75" i="2"/>
  <c r="AK77" i="2" s="1"/>
  <c r="AM38" i="2"/>
  <c r="AL82" i="2"/>
  <c r="AJ42" i="2"/>
  <c r="AJ86" i="2"/>
  <c r="AL76" i="2"/>
  <c r="AM32" i="2"/>
  <c r="AK39" i="2"/>
  <c r="AL36" i="2"/>
  <c r="AK80" i="2"/>
  <c r="AK81" i="2"/>
  <c r="AL37" i="2"/>
  <c r="AI103" i="2"/>
  <c r="AK49" i="2"/>
  <c r="AL94" i="2"/>
  <c r="AJ98" i="2"/>
  <c r="AJ103" i="2" s="1"/>
  <c r="AL40" i="2" l="1"/>
  <c r="AK42" i="2"/>
  <c r="AM76" i="2"/>
  <c r="AN32" i="2"/>
  <c r="AN76" i="2" s="1"/>
  <c r="AK83" i="2"/>
  <c r="AK86" i="2" s="1"/>
  <c r="AL39" i="2"/>
  <c r="AL84" i="2"/>
  <c r="AM40" i="2"/>
  <c r="AK54" i="2"/>
  <c r="AL49" i="2"/>
  <c r="AL81" i="2"/>
  <c r="AM37" i="2"/>
  <c r="AL75" i="2"/>
  <c r="AL77" i="2" s="1"/>
  <c r="AM31" i="2"/>
  <c r="AL33" i="2"/>
  <c r="AL80" i="2"/>
  <c r="AM36" i="2"/>
  <c r="AN38" i="2"/>
  <c r="AN82" i="2" s="1"/>
  <c r="AM82" i="2"/>
  <c r="AK98" i="2"/>
  <c r="AK103" i="2" s="1"/>
  <c r="AL42" i="2" l="1"/>
  <c r="AN31" i="2"/>
  <c r="AM75" i="2"/>
  <c r="AM77" i="2" s="1"/>
  <c r="AM33" i="2"/>
  <c r="AN40" i="2"/>
  <c r="AN84" i="2" s="1"/>
  <c r="AM84" i="2"/>
  <c r="AM49" i="2"/>
  <c r="AL98" i="2"/>
  <c r="AL103" i="2" s="1"/>
  <c r="AM39" i="2"/>
  <c r="AL83" i="2"/>
  <c r="AL86" i="2" s="1"/>
  <c r="AL54" i="2"/>
  <c r="AN37" i="2"/>
  <c r="AN81" i="2" s="1"/>
  <c r="AM81" i="2"/>
  <c r="AN36" i="2"/>
  <c r="AM80" i="2"/>
  <c r="AN49" i="2" l="1"/>
  <c r="AM98" i="2"/>
  <c r="AM103" i="2" s="1"/>
  <c r="AM54" i="2"/>
  <c r="AN80" i="2"/>
  <c r="AN33" i="2"/>
  <c r="AN75" i="2"/>
  <c r="AN77" i="2" s="1"/>
  <c r="AN39" i="2"/>
  <c r="AN83" i="2" s="1"/>
  <c r="AM83" i="2"/>
  <c r="AM86" i="2" s="1"/>
  <c r="AM42" i="2"/>
  <c r="AN86" i="2" l="1"/>
  <c r="AN42" i="2"/>
  <c r="AN98" i="2"/>
  <c r="AN103" i="2" s="1"/>
  <c r="AN54" i="2"/>
  <c r="U116" i="2" l="1"/>
  <c r="U115" i="2"/>
  <c r="U112" i="2"/>
  <c r="U126" i="2" s="1"/>
  <c r="U111" i="2"/>
  <c r="U110" i="2"/>
  <c r="U109" i="2"/>
  <c r="P116" i="2"/>
  <c r="P115" i="2"/>
  <c r="P112" i="2"/>
  <c r="P111" i="2"/>
  <c r="P110" i="2"/>
  <c r="P109" i="2"/>
  <c r="R118" i="2"/>
  <c r="S118" i="2"/>
  <c r="T118" i="2"/>
  <c r="O118" i="2"/>
  <c r="O113" i="2"/>
  <c r="R113" i="2"/>
  <c r="S113" i="2"/>
  <c r="T113" i="2"/>
  <c r="T127" i="2" s="1"/>
  <c r="N118" i="2"/>
  <c r="N113" i="2"/>
  <c r="M118" i="2"/>
  <c r="M113" i="2"/>
  <c r="M127" i="2" s="1"/>
  <c r="K117" i="2"/>
  <c r="K116" i="2"/>
  <c r="K115" i="2"/>
  <c r="K112" i="2"/>
  <c r="K111" i="2"/>
  <c r="K125" i="2" s="1"/>
  <c r="K110" i="2"/>
  <c r="K109" i="2"/>
  <c r="J118" i="2"/>
  <c r="J113" i="2"/>
  <c r="J127" i="2" s="1"/>
  <c r="I118" i="2"/>
  <c r="I113" i="2"/>
  <c r="I127" i="2" s="1"/>
  <c r="H118" i="2"/>
  <c r="H113" i="2"/>
  <c r="H127" i="2" s="1"/>
  <c r="N27" i="2"/>
  <c r="O27" i="2" s="1"/>
  <c r="P27" i="2" s="1"/>
  <c r="R27" i="2" s="1"/>
  <c r="I27" i="2"/>
  <c r="N26" i="2"/>
  <c r="O26" i="2" s="1"/>
  <c r="P26" i="2" s="1"/>
  <c r="R26" i="2" s="1"/>
  <c r="I26" i="2"/>
  <c r="N25" i="2"/>
  <c r="O25" i="2" s="1"/>
  <c r="P25" i="2" s="1"/>
  <c r="R25" i="2" s="1"/>
  <c r="I25" i="2"/>
  <c r="N24" i="2"/>
  <c r="O24" i="2" s="1"/>
  <c r="P24" i="2" s="1"/>
  <c r="R24" i="2" s="1"/>
  <c r="I24" i="2"/>
  <c r="H48" i="9"/>
  <c r="H45" i="9"/>
  <c r="H42" i="9"/>
  <c r="H39" i="9"/>
  <c r="H36" i="9"/>
  <c r="H33" i="9"/>
  <c r="H30" i="9"/>
  <c r="H27" i="9"/>
  <c r="H24" i="9"/>
  <c r="H21" i="9"/>
  <c r="H18" i="9"/>
  <c r="H15" i="9"/>
  <c r="H12" i="9"/>
  <c r="H9" i="9"/>
  <c r="H6" i="9"/>
  <c r="H3" i="9"/>
  <c r="U125" i="2" l="1"/>
  <c r="N127" i="2"/>
  <c r="Q116" i="2"/>
  <c r="P130" i="2"/>
  <c r="O148" i="2"/>
  <c r="O132" i="2"/>
  <c r="L110" i="2"/>
  <c r="L124" i="2" s="1"/>
  <c r="K124" i="2"/>
  <c r="S148" i="2"/>
  <c r="S132" i="2"/>
  <c r="V109" i="2"/>
  <c r="U123" i="2"/>
  <c r="L109" i="2"/>
  <c r="L123" i="2" s="1"/>
  <c r="K123" i="2"/>
  <c r="N148" i="2"/>
  <c r="N132" i="2"/>
  <c r="R148" i="2"/>
  <c r="R132" i="2"/>
  <c r="W132" i="2"/>
  <c r="V110" i="2"/>
  <c r="U124" i="2"/>
  <c r="H148" i="2"/>
  <c r="H132" i="2"/>
  <c r="L112" i="2"/>
  <c r="L126" i="2" s="1"/>
  <c r="K126" i="2"/>
  <c r="Q109" i="2"/>
  <c r="P123" i="2"/>
  <c r="T148" i="2"/>
  <c r="T132" i="2"/>
  <c r="L115" i="2"/>
  <c r="L129" i="2" s="1"/>
  <c r="K129" i="2"/>
  <c r="S127" i="2"/>
  <c r="Q110" i="2"/>
  <c r="P124" i="2"/>
  <c r="Q115" i="2"/>
  <c r="P129" i="2"/>
  <c r="I148" i="2"/>
  <c r="I132" i="2"/>
  <c r="L116" i="2"/>
  <c r="L130" i="2" s="1"/>
  <c r="K130" i="2"/>
  <c r="W127" i="2"/>
  <c r="R127" i="2"/>
  <c r="P125" i="2"/>
  <c r="V115" i="2"/>
  <c r="V129" i="2" s="1"/>
  <c r="U129" i="2"/>
  <c r="J148" i="2"/>
  <c r="J132" i="2"/>
  <c r="M148" i="2"/>
  <c r="M132" i="2"/>
  <c r="L117" i="2"/>
  <c r="K131" i="2"/>
  <c r="P131" i="2"/>
  <c r="O127" i="2"/>
  <c r="Q112" i="2"/>
  <c r="P126" i="2"/>
  <c r="V116" i="2"/>
  <c r="V130" i="2" s="1"/>
  <c r="U130" i="2"/>
  <c r="V112" i="2"/>
  <c r="W112" i="2"/>
  <c r="Q118" i="2"/>
  <c r="U105" i="2"/>
  <c r="V111" i="2"/>
  <c r="J27" i="2"/>
  <c r="K27" i="2" s="1"/>
  <c r="M27" i="2" s="1"/>
  <c r="Q27" i="2" s="1"/>
  <c r="J24" i="2"/>
  <c r="K24" i="2" s="1"/>
  <c r="M24" i="2" s="1"/>
  <c r="Q24" i="2" s="1"/>
  <c r="K105" i="2"/>
  <c r="L111" i="2"/>
  <c r="J25" i="2"/>
  <c r="K25" i="2" s="1"/>
  <c r="M25" i="2" s="1"/>
  <c r="Q25" i="2" s="1"/>
  <c r="P105" i="2"/>
  <c r="Q111" i="2"/>
  <c r="J26" i="2"/>
  <c r="K26" i="2" s="1"/>
  <c r="M26" i="2" s="1"/>
  <c r="Q26" i="2" s="1"/>
  <c r="J145" i="2"/>
  <c r="J120" i="2"/>
  <c r="J134" i="2" s="1"/>
  <c r="N145" i="2"/>
  <c r="N120" i="2"/>
  <c r="N151" i="2" s="1"/>
  <c r="I145" i="2"/>
  <c r="I120" i="2"/>
  <c r="I134" i="2" s="1"/>
  <c r="T145" i="2"/>
  <c r="T120" i="2"/>
  <c r="T151" i="2" s="1"/>
  <c r="S145" i="2"/>
  <c r="S120" i="2"/>
  <c r="M145" i="2"/>
  <c r="M120" i="2"/>
  <c r="M151" i="2" s="1"/>
  <c r="R145" i="2"/>
  <c r="R120" i="2"/>
  <c r="R151" i="2" s="1"/>
  <c r="H145" i="2"/>
  <c r="H120" i="2"/>
  <c r="H134" i="2" s="1"/>
  <c r="O145" i="2"/>
  <c r="O120" i="2"/>
  <c r="K113" i="2"/>
  <c r="K127" i="2" s="1"/>
  <c r="K118" i="2"/>
  <c r="P118" i="2"/>
  <c r="U118" i="2"/>
  <c r="U113" i="2"/>
  <c r="P113" i="2"/>
  <c r="W76" i="2"/>
  <c r="U76" i="2"/>
  <c r="T76" i="2"/>
  <c r="S76" i="2"/>
  <c r="R76" i="2"/>
  <c r="P76" i="2"/>
  <c r="O76" i="2"/>
  <c r="N76" i="2"/>
  <c r="M76" i="2"/>
  <c r="K76" i="2"/>
  <c r="J76" i="2"/>
  <c r="I76" i="2"/>
  <c r="H76" i="2"/>
  <c r="W75" i="2"/>
  <c r="U75" i="2"/>
  <c r="T75" i="2"/>
  <c r="S75" i="2"/>
  <c r="R75" i="2"/>
  <c r="P75" i="2"/>
  <c r="O75" i="2"/>
  <c r="N75" i="2"/>
  <c r="M75" i="2"/>
  <c r="K75" i="2"/>
  <c r="J75" i="2"/>
  <c r="I75" i="2"/>
  <c r="H75" i="2"/>
  <c r="R28" i="2"/>
  <c r="P28" i="2"/>
  <c r="O28" i="2"/>
  <c r="N28" i="2"/>
  <c r="I28" i="2"/>
  <c r="H28" i="2"/>
  <c r="P33" i="2"/>
  <c r="O33" i="2"/>
  <c r="N33" i="2"/>
  <c r="M33" i="2"/>
  <c r="K33" i="2"/>
  <c r="J33" i="2"/>
  <c r="I33" i="2"/>
  <c r="H33" i="2"/>
  <c r="W33" i="2"/>
  <c r="U33" i="2"/>
  <c r="T33" i="2"/>
  <c r="S33" i="2"/>
  <c r="R33" i="2"/>
  <c r="W85" i="2"/>
  <c r="U85" i="2"/>
  <c r="T85" i="2"/>
  <c r="S85" i="2"/>
  <c r="R85" i="2"/>
  <c r="P85" i="2"/>
  <c r="O85" i="2"/>
  <c r="N85" i="2"/>
  <c r="M85" i="2"/>
  <c r="K85" i="2"/>
  <c r="J85" i="2"/>
  <c r="I85" i="2"/>
  <c r="H85" i="2"/>
  <c r="W84" i="2"/>
  <c r="U84" i="2"/>
  <c r="T84" i="2"/>
  <c r="S84" i="2"/>
  <c r="R84" i="2"/>
  <c r="P84" i="2"/>
  <c r="O84" i="2"/>
  <c r="N84" i="2"/>
  <c r="M84" i="2"/>
  <c r="K84" i="2"/>
  <c r="J84" i="2"/>
  <c r="I84" i="2"/>
  <c r="H84" i="2"/>
  <c r="W83" i="2"/>
  <c r="U83" i="2"/>
  <c r="T83" i="2"/>
  <c r="S83" i="2"/>
  <c r="R83" i="2"/>
  <c r="P83" i="2"/>
  <c r="O83" i="2"/>
  <c r="N83" i="2"/>
  <c r="M83" i="2"/>
  <c r="K83" i="2"/>
  <c r="J83" i="2"/>
  <c r="I83" i="2"/>
  <c r="H83" i="2"/>
  <c r="W82" i="2"/>
  <c r="U82" i="2"/>
  <c r="T82" i="2"/>
  <c r="S82" i="2"/>
  <c r="R82" i="2"/>
  <c r="P82" i="2"/>
  <c r="O82" i="2"/>
  <c r="N82" i="2"/>
  <c r="M82" i="2"/>
  <c r="K82" i="2"/>
  <c r="J82" i="2"/>
  <c r="I82" i="2"/>
  <c r="H82" i="2"/>
  <c r="W81" i="2"/>
  <c r="U81" i="2"/>
  <c r="T81" i="2"/>
  <c r="S81" i="2"/>
  <c r="R81" i="2"/>
  <c r="P81" i="2"/>
  <c r="O81" i="2"/>
  <c r="N81" i="2"/>
  <c r="M81" i="2"/>
  <c r="K81" i="2"/>
  <c r="J81" i="2"/>
  <c r="I81" i="2"/>
  <c r="H81" i="2"/>
  <c r="W80" i="2"/>
  <c r="U80" i="2"/>
  <c r="T80" i="2"/>
  <c r="S80" i="2"/>
  <c r="R80" i="2"/>
  <c r="P80" i="2"/>
  <c r="O80" i="2"/>
  <c r="N80" i="2"/>
  <c r="M80" i="2"/>
  <c r="K80" i="2"/>
  <c r="J80" i="2"/>
  <c r="I80" i="2"/>
  <c r="H80" i="2"/>
  <c r="H42" i="2"/>
  <c r="I42" i="2"/>
  <c r="J42" i="2"/>
  <c r="K42" i="2"/>
  <c r="M42" i="2"/>
  <c r="N42" i="2"/>
  <c r="O42" i="2"/>
  <c r="P42" i="2"/>
  <c r="R42" i="2"/>
  <c r="S42" i="2"/>
  <c r="T42" i="2"/>
  <c r="U42" i="2"/>
  <c r="W42" i="2"/>
  <c r="R71" i="2"/>
  <c r="P71" i="2"/>
  <c r="O71" i="2"/>
  <c r="N71" i="2"/>
  <c r="I71" i="2"/>
  <c r="H71" i="2"/>
  <c r="R70" i="2"/>
  <c r="P70" i="2"/>
  <c r="O70" i="2"/>
  <c r="N70" i="2"/>
  <c r="I70" i="2"/>
  <c r="H70" i="2"/>
  <c r="R69" i="2"/>
  <c r="P69" i="2"/>
  <c r="O69" i="2"/>
  <c r="N69" i="2"/>
  <c r="I69" i="2"/>
  <c r="H69" i="2"/>
  <c r="R68" i="2"/>
  <c r="P68" i="2"/>
  <c r="O68" i="2"/>
  <c r="N68" i="2"/>
  <c r="I68" i="2"/>
  <c r="H68" i="2"/>
  <c r="Q124" i="2" l="1"/>
  <c r="O134" i="2"/>
  <c r="O151" i="2"/>
  <c r="S134" i="2"/>
  <c r="S151" i="2"/>
  <c r="V126" i="2"/>
  <c r="P127" i="2"/>
  <c r="Q126" i="2"/>
  <c r="U132" i="2"/>
  <c r="Q123" i="2"/>
  <c r="L131" i="2"/>
  <c r="Q131" i="2"/>
  <c r="T134" i="2"/>
  <c r="V105" i="2"/>
  <c r="V125" i="2"/>
  <c r="U127" i="2"/>
  <c r="Q105" i="2"/>
  <c r="Q125" i="2"/>
  <c r="R134" i="2"/>
  <c r="W134" i="2"/>
  <c r="V118" i="2"/>
  <c r="P148" i="2"/>
  <c r="P132" i="2"/>
  <c r="L118" i="2"/>
  <c r="Q132" i="2" s="1"/>
  <c r="K148" i="2"/>
  <c r="K132" i="2"/>
  <c r="M134" i="2"/>
  <c r="N134" i="2"/>
  <c r="L105" i="2"/>
  <c r="L125" i="2"/>
  <c r="Q148" i="2"/>
  <c r="V124" i="2"/>
  <c r="W126" i="2"/>
  <c r="AB112" i="2"/>
  <c r="Q129" i="2"/>
  <c r="V123" i="2"/>
  <c r="Q130" i="2"/>
  <c r="K68" i="2"/>
  <c r="J69" i="2"/>
  <c r="M68" i="2"/>
  <c r="Q68" i="2" s="1"/>
  <c r="J68" i="2"/>
  <c r="V113" i="2"/>
  <c r="K71" i="2"/>
  <c r="M70" i="2"/>
  <c r="Q70" i="2" s="1"/>
  <c r="J71" i="2"/>
  <c r="M71" i="2"/>
  <c r="Q71" i="2" s="1"/>
  <c r="Q82" i="2"/>
  <c r="V76" i="2"/>
  <c r="L24" i="2"/>
  <c r="L113" i="2"/>
  <c r="L27" i="2"/>
  <c r="L82" i="2"/>
  <c r="V82" i="2"/>
  <c r="Q76" i="2"/>
  <c r="L25" i="2"/>
  <c r="J70" i="2"/>
  <c r="Q83" i="2"/>
  <c r="K70" i="2"/>
  <c r="Q80" i="2"/>
  <c r="L84" i="2"/>
  <c r="V84" i="2"/>
  <c r="L81" i="2"/>
  <c r="V81" i="2"/>
  <c r="Q85" i="2"/>
  <c r="K69" i="2"/>
  <c r="V83" i="2"/>
  <c r="V80" i="2"/>
  <c r="V85" i="2"/>
  <c r="L75" i="2"/>
  <c r="V75" i="2"/>
  <c r="K28" i="2"/>
  <c r="Q113" i="2"/>
  <c r="L83" i="2"/>
  <c r="M28" i="2"/>
  <c r="Q28" i="2"/>
  <c r="M69" i="2"/>
  <c r="Q69" i="2" s="1"/>
  <c r="L80" i="2"/>
  <c r="Q84" i="2"/>
  <c r="Q75" i="2"/>
  <c r="L26" i="2"/>
  <c r="J28" i="2"/>
  <c r="Q81" i="2"/>
  <c r="L85" i="2"/>
  <c r="L76" i="2"/>
  <c r="R222" i="2"/>
  <c r="R224" i="2"/>
  <c r="R220" i="2"/>
  <c r="R273" i="2"/>
  <c r="R223" i="2"/>
  <c r="R221" i="2"/>
  <c r="M221" i="2"/>
  <c r="M224" i="2"/>
  <c r="M220" i="2"/>
  <c r="M222" i="2"/>
  <c r="M273" i="2"/>
  <c r="M223" i="2"/>
  <c r="N221" i="2"/>
  <c r="N224" i="2"/>
  <c r="N222" i="2"/>
  <c r="N220" i="2"/>
  <c r="N273" i="2"/>
  <c r="N223" i="2"/>
  <c r="I222" i="2"/>
  <c r="I221" i="2"/>
  <c r="I273" i="2"/>
  <c r="I224" i="2"/>
  <c r="I220" i="2"/>
  <c r="I223" i="2"/>
  <c r="O273" i="2"/>
  <c r="O223" i="2"/>
  <c r="O221" i="2"/>
  <c r="O224" i="2"/>
  <c r="O220" i="2"/>
  <c r="O222" i="2"/>
  <c r="S221" i="2"/>
  <c r="S222" i="2"/>
  <c r="S220" i="2"/>
  <c r="S273" i="2"/>
  <c r="S223" i="2"/>
  <c r="S224" i="2"/>
  <c r="J222" i="2"/>
  <c r="J220" i="2"/>
  <c r="J273" i="2"/>
  <c r="J223" i="2"/>
  <c r="J221" i="2"/>
  <c r="J224" i="2"/>
  <c r="H223" i="2"/>
  <c r="H224" i="2"/>
  <c r="H221" i="2"/>
  <c r="H220" i="2"/>
  <c r="H222" i="2"/>
  <c r="H273" i="2"/>
  <c r="T222" i="2"/>
  <c r="T220" i="2"/>
  <c r="T273" i="2"/>
  <c r="T223" i="2"/>
  <c r="T221" i="2"/>
  <c r="T224" i="2"/>
  <c r="J153" i="2"/>
  <c r="O153" i="2"/>
  <c r="T153" i="2"/>
  <c r="H153" i="2"/>
  <c r="M153" i="2"/>
  <c r="I153" i="2"/>
  <c r="R153" i="2"/>
  <c r="S153" i="2"/>
  <c r="N153" i="2"/>
  <c r="U120" i="2"/>
  <c r="U151" i="2" s="1"/>
  <c r="P145" i="2"/>
  <c r="P120" i="2"/>
  <c r="P151" i="2" s="1"/>
  <c r="K145" i="2"/>
  <c r="K120" i="2"/>
  <c r="K134" i="2" s="1"/>
  <c r="U145" i="2"/>
  <c r="W115" i="2"/>
  <c r="W129" i="2" s="1"/>
  <c r="U148" i="2"/>
  <c r="H77" i="2"/>
  <c r="O86" i="2"/>
  <c r="J77" i="2"/>
  <c r="R77" i="2"/>
  <c r="P86" i="2"/>
  <c r="K77" i="2"/>
  <c r="S77" i="2"/>
  <c r="R86" i="2"/>
  <c r="M77" i="2"/>
  <c r="T77" i="2"/>
  <c r="K86" i="2"/>
  <c r="N77" i="2"/>
  <c r="U77" i="2"/>
  <c r="O77" i="2"/>
  <c r="U86" i="2"/>
  <c r="I77" i="2"/>
  <c r="P77" i="2"/>
  <c r="W77" i="2"/>
  <c r="W116" i="2"/>
  <c r="W130" i="2" s="1"/>
  <c r="J86" i="2"/>
  <c r="T86" i="2"/>
  <c r="S86" i="2"/>
  <c r="I86" i="2"/>
  <c r="W86" i="2"/>
  <c r="N86" i="2"/>
  <c r="M86" i="2"/>
  <c r="H86" i="2"/>
  <c r="R72" i="2"/>
  <c r="H72" i="2"/>
  <c r="N72" i="2"/>
  <c r="O72" i="2"/>
  <c r="P72" i="2"/>
  <c r="I72" i="2"/>
  <c r="Q127" i="2" l="1"/>
  <c r="P134" i="2"/>
  <c r="L148" i="2"/>
  <c r="L132" i="2"/>
  <c r="U134" i="2"/>
  <c r="V148" i="2"/>
  <c r="V132" i="2"/>
  <c r="L145" i="2"/>
  <c r="L127" i="2"/>
  <c r="V120" i="2"/>
  <c r="V151" i="2" s="1"/>
  <c r="V127" i="2"/>
  <c r="L69" i="2"/>
  <c r="L68" i="2"/>
  <c r="V145" i="2"/>
  <c r="L70" i="2"/>
  <c r="J72" i="2"/>
  <c r="L120" i="2"/>
  <c r="L151" i="2" s="1"/>
  <c r="V77" i="2"/>
  <c r="Q72" i="2"/>
  <c r="AA76" i="2"/>
  <c r="K72" i="2"/>
  <c r="M72" i="2"/>
  <c r="L71" i="2"/>
  <c r="AA81" i="2"/>
  <c r="Q86" i="2"/>
  <c r="Q77" i="2"/>
  <c r="X116" i="2"/>
  <c r="AA84" i="2"/>
  <c r="L28" i="2"/>
  <c r="AA85" i="2"/>
  <c r="X115" i="2"/>
  <c r="AA82" i="2"/>
  <c r="AA110" i="2"/>
  <c r="AA124" i="2" s="1"/>
  <c r="L77" i="2"/>
  <c r="AA83" i="2"/>
  <c r="V86" i="2"/>
  <c r="V221" i="2"/>
  <c r="V220" i="2"/>
  <c r="V223" i="2"/>
  <c r="L86" i="2"/>
  <c r="Q120" i="2"/>
  <c r="Q151" i="2" s="1"/>
  <c r="Q145" i="2"/>
  <c r="K224" i="2"/>
  <c r="K222" i="2"/>
  <c r="K220" i="2"/>
  <c r="K273" i="2"/>
  <c r="K223" i="2"/>
  <c r="K221" i="2"/>
  <c r="P220" i="2"/>
  <c r="P273" i="2"/>
  <c r="P223" i="2"/>
  <c r="P221" i="2"/>
  <c r="P224" i="2"/>
  <c r="P222" i="2"/>
  <c r="U224" i="2"/>
  <c r="U273" i="2"/>
  <c r="U223" i="2"/>
  <c r="U220" i="2"/>
  <c r="U222" i="2"/>
  <c r="U221" i="2"/>
  <c r="K153" i="2"/>
  <c r="P153" i="2"/>
  <c r="U153" i="2"/>
  <c r="AA80" i="2"/>
  <c r="W105" i="2"/>
  <c r="S25" i="2"/>
  <c r="T25" i="2"/>
  <c r="T69" i="2" s="1"/>
  <c r="U25" i="2"/>
  <c r="U69" i="2" s="1"/>
  <c r="W25" i="2"/>
  <c r="S26" i="2"/>
  <c r="T26" i="2"/>
  <c r="T70" i="2" s="1"/>
  <c r="U26" i="2"/>
  <c r="U70" i="2" s="1"/>
  <c r="W26" i="2"/>
  <c r="S27" i="2"/>
  <c r="T27" i="2"/>
  <c r="T71" i="2" s="1"/>
  <c r="U27" i="2"/>
  <c r="U71" i="2" s="1"/>
  <c r="W27" i="2"/>
  <c r="W24" i="2"/>
  <c r="U24" i="2"/>
  <c r="U68" i="2" s="1"/>
  <c r="T24" i="2"/>
  <c r="T68" i="2" s="1"/>
  <c r="S24" i="2"/>
  <c r="N28" i="8"/>
  <c r="N27" i="8"/>
  <c r="N26" i="8"/>
  <c r="N25" i="8"/>
  <c r="N29" i="8" s="1"/>
  <c r="K28" i="8"/>
  <c r="K27" i="8"/>
  <c r="K26" i="8"/>
  <c r="K25" i="8"/>
  <c r="K29" i="8" s="1"/>
  <c r="H28" i="8"/>
  <c r="H27" i="8"/>
  <c r="H26" i="8"/>
  <c r="H25" i="8"/>
  <c r="H29" i="8" s="1"/>
  <c r="E28" i="8"/>
  <c r="E27" i="8"/>
  <c r="E26" i="8"/>
  <c r="E25" i="8"/>
  <c r="N17" i="8"/>
  <c r="M17" i="8"/>
  <c r="L17" i="8"/>
  <c r="K17" i="8"/>
  <c r="J17" i="8"/>
  <c r="I17" i="8"/>
  <c r="H17" i="8"/>
  <c r="G17" i="8"/>
  <c r="F17" i="8"/>
  <c r="E17" i="8"/>
  <c r="D17" i="8"/>
  <c r="C17" i="8"/>
  <c r="N20" i="8"/>
  <c r="M20" i="8"/>
  <c r="L20" i="8"/>
  <c r="K20" i="8"/>
  <c r="J20" i="8"/>
  <c r="I20" i="8"/>
  <c r="H20" i="8"/>
  <c r="G20" i="8"/>
  <c r="F20" i="8"/>
  <c r="E20" i="8"/>
  <c r="D20" i="8"/>
  <c r="C20" i="8"/>
  <c r="N19" i="8"/>
  <c r="M19" i="8"/>
  <c r="L19" i="8"/>
  <c r="K19" i="8"/>
  <c r="J19" i="8"/>
  <c r="I19" i="8"/>
  <c r="H19" i="8"/>
  <c r="G19" i="8"/>
  <c r="F19" i="8"/>
  <c r="E19" i="8"/>
  <c r="D19" i="8"/>
  <c r="C19" i="8"/>
  <c r="C21" i="8" s="1"/>
  <c r="N18" i="8"/>
  <c r="N21" i="8" s="1"/>
  <c r="M18" i="8"/>
  <c r="L18" i="8"/>
  <c r="K18" i="8"/>
  <c r="J18" i="8"/>
  <c r="I18" i="8"/>
  <c r="H18" i="8"/>
  <c r="G18" i="8"/>
  <c r="F18" i="8"/>
  <c r="F21" i="8" s="1"/>
  <c r="E18" i="8"/>
  <c r="D18" i="8"/>
  <c r="C18" i="8"/>
  <c r="N14" i="8"/>
  <c r="M14" i="8"/>
  <c r="L14" i="8"/>
  <c r="K14" i="8"/>
  <c r="J14" i="8"/>
  <c r="I14" i="8"/>
  <c r="H14" i="8"/>
  <c r="G14" i="8"/>
  <c r="F14" i="8"/>
  <c r="E14" i="8"/>
  <c r="D14" i="8"/>
  <c r="C14" i="8"/>
  <c r="J62" i="7"/>
  <c r="K62" i="7"/>
  <c r="M62" i="7"/>
  <c r="N62" i="7"/>
  <c r="P62" i="7"/>
  <c r="Q62" i="7"/>
  <c r="S62" i="7"/>
  <c r="T62" i="7"/>
  <c r="U62" i="7"/>
  <c r="W62" i="7"/>
  <c r="X62" i="7"/>
  <c r="Z62" i="7"/>
  <c r="AA62" i="7"/>
  <c r="AC62" i="7"/>
  <c r="AD62" i="7"/>
  <c r="AF62" i="7"/>
  <c r="AG62" i="7"/>
  <c r="AH62" i="7"/>
  <c r="AJ62" i="7"/>
  <c r="AK62" i="7"/>
  <c r="AM62" i="7"/>
  <c r="AN62" i="7"/>
  <c r="AP62" i="7"/>
  <c r="AQ62" i="7"/>
  <c r="AS62" i="7"/>
  <c r="AT62" i="7"/>
  <c r="AU62" i="7"/>
  <c r="AW62" i="7"/>
  <c r="AX62" i="7"/>
  <c r="AZ62" i="7"/>
  <c r="BA62" i="7"/>
  <c r="BC62" i="7"/>
  <c r="BD62" i="7"/>
  <c r="BF62" i="7"/>
  <c r="BG62" i="7"/>
  <c r="BH62" i="7"/>
  <c r="BJ62" i="7"/>
  <c r="BK62" i="7"/>
  <c r="BM62" i="7"/>
  <c r="BN62" i="7"/>
  <c r="BP62" i="7"/>
  <c r="BQ62" i="7"/>
  <c r="AV59" i="7"/>
  <c r="N19" i="2" s="1"/>
  <c r="N63" i="2" s="1"/>
  <c r="H62" i="7"/>
  <c r="BS62" i="7"/>
  <c r="G62" i="7"/>
  <c r="F62" i="7"/>
  <c r="E62" i="7"/>
  <c r="D62" i="7"/>
  <c r="C62" i="7"/>
  <c r="B62" i="7"/>
  <c r="BS45" i="7"/>
  <c r="BR45" i="7"/>
  <c r="BQ45" i="7"/>
  <c r="BP45" i="7"/>
  <c r="BO45" i="7"/>
  <c r="BN45" i="7"/>
  <c r="BM45" i="7"/>
  <c r="BL45" i="7"/>
  <c r="BK45" i="7"/>
  <c r="BJ45" i="7"/>
  <c r="BI45" i="7"/>
  <c r="BH45" i="7"/>
  <c r="BG45" i="7"/>
  <c r="BF45" i="7"/>
  <c r="BE45" i="7"/>
  <c r="BD45" i="7"/>
  <c r="BC45" i="7"/>
  <c r="BB45" i="7"/>
  <c r="BA45" i="7"/>
  <c r="AZ45" i="7"/>
  <c r="AY45" i="7"/>
  <c r="AX45" i="7"/>
  <c r="AW45" i="7"/>
  <c r="AV45" i="7"/>
  <c r="AU45" i="7"/>
  <c r="AT45" i="7"/>
  <c r="AS45" i="7"/>
  <c r="AR45" i="7"/>
  <c r="AQ45" i="7"/>
  <c r="AP45" i="7"/>
  <c r="AO45" i="7"/>
  <c r="AN45" i="7"/>
  <c r="AM45" i="7"/>
  <c r="AL45" i="7"/>
  <c r="AK45" i="7"/>
  <c r="AJ45" i="7"/>
  <c r="AI45" i="7"/>
  <c r="AH45" i="7"/>
  <c r="AG45" i="7"/>
  <c r="AF45" i="7"/>
  <c r="AE45" i="7"/>
  <c r="AD45" i="7"/>
  <c r="AC45" i="7"/>
  <c r="AB45" i="7"/>
  <c r="AA45" i="7"/>
  <c r="Z45" i="7"/>
  <c r="Y45" i="7"/>
  <c r="X45" i="7"/>
  <c r="W45" i="7"/>
  <c r="V45" i="7"/>
  <c r="U45" i="7"/>
  <c r="T45" i="7"/>
  <c r="S45" i="7"/>
  <c r="R45" i="7"/>
  <c r="Q45" i="7"/>
  <c r="P45" i="7"/>
  <c r="O45" i="7"/>
  <c r="N45" i="7"/>
  <c r="M45" i="7"/>
  <c r="L45" i="7"/>
  <c r="K45" i="7"/>
  <c r="J45" i="7"/>
  <c r="I45" i="7"/>
  <c r="H45" i="7"/>
  <c r="G45" i="7"/>
  <c r="F45" i="7"/>
  <c r="E45" i="7"/>
  <c r="D45" i="7"/>
  <c r="C45" i="7"/>
  <c r="B45" i="7"/>
  <c r="BS41" i="7"/>
  <c r="BR41" i="7"/>
  <c r="BQ41" i="7"/>
  <c r="BP41" i="7"/>
  <c r="BO41" i="7"/>
  <c r="BN41" i="7"/>
  <c r="BM41" i="7"/>
  <c r="BO60" i="7" s="1"/>
  <c r="U20" i="2" s="1"/>
  <c r="U64" i="2" s="1"/>
  <c r="BL41" i="7"/>
  <c r="BK41" i="7"/>
  <c r="BJ41" i="7"/>
  <c r="BI41" i="7"/>
  <c r="BH41" i="7"/>
  <c r="BG41" i="7"/>
  <c r="BF41" i="7"/>
  <c r="BE41" i="7"/>
  <c r="BD41" i="7"/>
  <c r="BC41" i="7"/>
  <c r="BB41" i="7"/>
  <c r="BA41" i="7"/>
  <c r="AZ41" i="7"/>
  <c r="AY41" i="7"/>
  <c r="AX41" i="7"/>
  <c r="AW41" i="7"/>
  <c r="AY60" i="7" s="1"/>
  <c r="O20" i="2" s="1"/>
  <c r="O64" i="2" s="1"/>
  <c r="AV41" i="7"/>
  <c r="AU41" i="7"/>
  <c r="AT41" i="7"/>
  <c r="AS41" i="7"/>
  <c r="AR41" i="7"/>
  <c r="AQ41" i="7"/>
  <c r="AP41" i="7"/>
  <c r="AO41" i="7"/>
  <c r="AN41" i="7"/>
  <c r="AM41" i="7"/>
  <c r="AL41" i="7"/>
  <c r="AK41" i="7"/>
  <c r="AJ41" i="7"/>
  <c r="AI41" i="7"/>
  <c r="AH41" i="7"/>
  <c r="AG41" i="7"/>
  <c r="AI60" i="7" s="1"/>
  <c r="I20" i="2" s="1"/>
  <c r="I64" i="2" s="1"/>
  <c r="AF41" i="7"/>
  <c r="AE41" i="7"/>
  <c r="AD41" i="7"/>
  <c r="AC41" i="7"/>
  <c r="AB41" i="7"/>
  <c r="AA41" i="7"/>
  <c r="Z41" i="7"/>
  <c r="Y41" i="7"/>
  <c r="X41" i="7"/>
  <c r="W41" i="7"/>
  <c r="V41" i="7"/>
  <c r="V60" i="7" s="1"/>
  <c r="U41" i="7"/>
  <c r="T41" i="7"/>
  <c r="S41" i="7"/>
  <c r="R41" i="7"/>
  <c r="Q41" i="7"/>
  <c r="P41" i="7"/>
  <c r="O41" i="7"/>
  <c r="N41" i="7"/>
  <c r="M41" i="7"/>
  <c r="L41" i="7"/>
  <c r="K41" i="7"/>
  <c r="J41" i="7"/>
  <c r="L60" i="7" s="1"/>
  <c r="I41" i="7"/>
  <c r="H41" i="7"/>
  <c r="G41" i="7"/>
  <c r="F41" i="7"/>
  <c r="E41" i="7"/>
  <c r="D41" i="7"/>
  <c r="C41" i="7"/>
  <c r="B41" i="7"/>
  <c r="BS39" i="7"/>
  <c r="BR39" i="7"/>
  <c r="BQ39" i="7"/>
  <c r="BP39" i="7"/>
  <c r="BO39" i="7"/>
  <c r="BN39" i="7"/>
  <c r="BM39" i="7"/>
  <c r="BL39" i="7"/>
  <c r="BK39" i="7"/>
  <c r="BJ39" i="7"/>
  <c r="BI39" i="7"/>
  <c r="BH39" i="7"/>
  <c r="BG39" i="7"/>
  <c r="BF39" i="7"/>
  <c r="BE39" i="7"/>
  <c r="BD39" i="7"/>
  <c r="BC39" i="7"/>
  <c r="BE59" i="7" s="1"/>
  <c r="R19" i="2" s="1"/>
  <c r="BB39" i="7"/>
  <c r="BA39" i="7"/>
  <c r="AZ39" i="7"/>
  <c r="AY39" i="7"/>
  <c r="AX39" i="7"/>
  <c r="AW39" i="7"/>
  <c r="AV39" i="7"/>
  <c r="AU39" i="7"/>
  <c r="AT39" i="7"/>
  <c r="AS39" i="7"/>
  <c r="AR39" i="7"/>
  <c r="AQ39" i="7"/>
  <c r="AP39" i="7"/>
  <c r="AO39" i="7"/>
  <c r="AN39" i="7"/>
  <c r="AM39" i="7"/>
  <c r="AO59" i="7" s="1"/>
  <c r="K19" i="2" s="1"/>
  <c r="K63" i="2" s="1"/>
  <c r="AL39" i="7"/>
  <c r="AK39" i="7"/>
  <c r="AJ39" i="7"/>
  <c r="AI39" i="7"/>
  <c r="AH39" i="7"/>
  <c r="AG39" i="7"/>
  <c r="AF39" i="7"/>
  <c r="AE39" i="7"/>
  <c r="AD39" i="7"/>
  <c r="AC39" i="7"/>
  <c r="AB39" i="7"/>
  <c r="AA39" i="7"/>
  <c r="Z39" i="7"/>
  <c r="Y39" i="7"/>
  <c r="X39" i="7"/>
  <c r="W39" i="7"/>
  <c r="Y59" i="7" s="1"/>
  <c r="V39" i="7"/>
  <c r="U39" i="7"/>
  <c r="T39" i="7"/>
  <c r="S39" i="7"/>
  <c r="R39" i="7"/>
  <c r="Q39" i="7"/>
  <c r="P39" i="7"/>
  <c r="O39" i="7"/>
  <c r="N39" i="7"/>
  <c r="M39" i="7"/>
  <c r="L39" i="7"/>
  <c r="K39" i="7"/>
  <c r="J39" i="7"/>
  <c r="I39" i="7"/>
  <c r="H39" i="7"/>
  <c r="G39" i="7"/>
  <c r="I59" i="7" s="1"/>
  <c r="F39" i="7"/>
  <c r="E39" i="7"/>
  <c r="D39" i="7"/>
  <c r="C39" i="7"/>
  <c r="BS37" i="7"/>
  <c r="BR37" i="7"/>
  <c r="BQ37" i="7"/>
  <c r="BP37" i="7"/>
  <c r="BR58" i="7" s="1"/>
  <c r="W18" i="2" s="1"/>
  <c r="BO37" i="7"/>
  <c r="BN37" i="7"/>
  <c r="BM37" i="7"/>
  <c r="BL37" i="7"/>
  <c r="BK37" i="7"/>
  <c r="BJ37" i="7"/>
  <c r="BI37" i="7"/>
  <c r="BH37" i="7"/>
  <c r="BG37" i="7"/>
  <c r="BF37" i="7"/>
  <c r="BE37" i="7"/>
  <c r="BD37" i="7"/>
  <c r="BC37" i="7"/>
  <c r="BB37" i="7"/>
  <c r="BA37" i="7"/>
  <c r="AZ37" i="7"/>
  <c r="BB58" i="7" s="1"/>
  <c r="P18" i="2" s="1"/>
  <c r="P62" i="2" s="1"/>
  <c r="AY37" i="7"/>
  <c r="AX37" i="7"/>
  <c r="AW37" i="7"/>
  <c r="AV37" i="7"/>
  <c r="AU37" i="7"/>
  <c r="AT37" i="7"/>
  <c r="AS37" i="7"/>
  <c r="AR37" i="7"/>
  <c r="AQ37" i="7"/>
  <c r="AP37" i="7"/>
  <c r="AO37" i="7"/>
  <c r="AN37" i="7"/>
  <c r="AM37" i="7"/>
  <c r="AL37" i="7"/>
  <c r="AK37" i="7"/>
  <c r="AJ37" i="7"/>
  <c r="AL58" i="7" s="1"/>
  <c r="J18" i="2" s="1"/>
  <c r="J62" i="2" s="1"/>
  <c r="AI37" i="7"/>
  <c r="AH37" i="7"/>
  <c r="AG37" i="7"/>
  <c r="AF37" i="7"/>
  <c r="AE37" i="7"/>
  <c r="AD37" i="7"/>
  <c r="AC37" i="7"/>
  <c r="AB37" i="7"/>
  <c r="AA37" i="7"/>
  <c r="Z37" i="7"/>
  <c r="Y37" i="7"/>
  <c r="X37" i="7"/>
  <c r="W37" i="7"/>
  <c r="V37" i="7"/>
  <c r="U37" i="7"/>
  <c r="T37" i="7"/>
  <c r="V58" i="7" s="1"/>
  <c r="S37" i="7"/>
  <c r="R37" i="7"/>
  <c r="Q37" i="7"/>
  <c r="P37" i="7"/>
  <c r="O37" i="7"/>
  <c r="N37" i="7"/>
  <c r="M37" i="7"/>
  <c r="L37" i="7"/>
  <c r="K37" i="7"/>
  <c r="J37" i="7"/>
  <c r="I37" i="7"/>
  <c r="I58" i="7" s="1"/>
  <c r="H37" i="7"/>
  <c r="G37" i="7"/>
  <c r="F37" i="7"/>
  <c r="E37" i="7"/>
  <c r="D37" i="7"/>
  <c r="C37" i="7"/>
  <c r="B39" i="7"/>
  <c r="B37" i="7"/>
  <c r="BS35" i="7"/>
  <c r="BR35" i="7"/>
  <c r="BQ35" i="7"/>
  <c r="BP35" i="7"/>
  <c r="BO35" i="7"/>
  <c r="BN35" i="7"/>
  <c r="BM35" i="7"/>
  <c r="BL35" i="7"/>
  <c r="BK35" i="7"/>
  <c r="BJ35" i="7"/>
  <c r="BI35" i="7"/>
  <c r="BH35" i="7"/>
  <c r="BG35" i="7"/>
  <c r="BI57" i="7" s="1"/>
  <c r="S17" i="2" s="1"/>
  <c r="S61" i="2" s="1"/>
  <c r="BF35" i="7"/>
  <c r="BE35" i="7"/>
  <c r="BD35" i="7"/>
  <c r="BC35" i="7"/>
  <c r="BB35" i="7"/>
  <c r="BA35" i="7"/>
  <c r="AZ35" i="7"/>
  <c r="AY35" i="7"/>
  <c r="AX35" i="7"/>
  <c r="AW35" i="7"/>
  <c r="AV35" i="7"/>
  <c r="AV57" i="7" s="1"/>
  <c r="N17" i="2" s="1"/>
  <c r="N61" i="2" s="1"/>
  <c r="AU35" i="7"/>
  <c r="AT35" i="7"/>
  <c r="AS35" i="7"/>
  <c r="AR35" i="7"/>
  <c r="AQ35" i="7"/>
  <c r="AP35" i="7"/>
  <c r="AO35" i="7"/>
  <c r="AN35" i="7"/>
  <c r="AM35" i="7"/>
  <c r="AL35" i="7"/>
  <c r="AK35" i="7"/>
  <c r="AJ35" i="7"/>
  <c r="AI35" i="7"/>
  <c r="AH35" i="7"/>
  <c r="AG35" i="7"/>
  <c r="AF35" i="7"/>
  <c r="AE35" i="7"/>
  <c r="AD35" i="7"/>
  <c r="AC35" i="7"/>
  <c r="AB35" i="7"/>
  <c r="AA35" i="7"/>
  <c r="Z35" i="7"/>
  <c r="Y35" i="7"/>
  <c r="X35" i="7"/>
  <c r="W35" i="7"/>
  <c r="V35" i="7"/>
  <c r="U35" i="7"/>
  <c r="T35" i="7"/>
  <c r="S35" i="7"/>
  <c r="R35" i="7"/>
  <c r="Q35" i="7"/>
  <c r="P35" i="7"/>
  <c r="O35" i="7"/>
  <c r="N35" i="7"/>
  <c r="M35" i="7"/>
  <c r="L35" i="7"/>
  <c r="K35" i="7"/>
  <c r="J35" i="7"/>
  <c r="I35" i="7"/>
  <c r="H35" i="7"/>
  <c r="G35" i="7"/>
  <c r="F35" i="7"/>
  <c r="E35" i="7"/>
  <c r="D35" i="7"/>
  <c r="C35" i="7"/>
  <c r="B35" i="7"/>
  <c r="BS33" i="7"/>
  <c r="BR33" i="7"/>
  <c r="BQ33" i="7"/>
  <c r="BP33" i="7"/>
  <c r="BO33" i="7"/>
  <c r="BN33" i="7"/>
  <c r="BM33" i="7"/>
  <c r="BO56" i="7" s="1"/>
  <c r="U16" i="2" s="1"/>
  <c r="U60" i="2" s="1"/>
  <c r="BL33" i="7"/>
  <c r="BK33" i="7"/>
  <c r="BJ33" i="7"/>
  <c r="BI33" i="7"/>
  <c r="BH33" i="7"/>
  <c r="BG33" i="7"/>
  <c r="BF33" i="7"/>
  <c r="BE33" i="7"/>
  <c r="BD33" i="7"/>
  <c r="BC33" i="7"/>
  <c r="BB33" i="7"/>
  <c r="BA33" i="7"/>
  <c r="AZ33" i="7"/>
  <c r="AY33" i="7"/>
  <c r="AX33" i="7"/>
  <c r="AW33" i="7"/>
  <c r="AY56" i="7" s="1"/>
  <c r="O16" i="2" s="1"/>
  <c r="O60" i="2" s="1"/>
  <c r="AV33" i="7"/>
  <c r="AU33" i="7"/>
  <c r="AT33" i="7"/>
  <c r="AS33" i="7"/>
  <c r="AR33" i="7"/>
  <c r="AQ33" i="7"/>
  <c r="AP33" i="7"/>
  <c r="AO33" i="7"/>
  <c r="AN33" i="7"/>
  <c r="AM33" i="7"/>
  <c r="AL33" i="7"/>
  <c r="AK33" i="7"/>
  <c r="AJ33" i="7"/>
  <c r="AI33" i="7"/>
  <c r="AH33" i="7"/>
  <c r="AG33" i="7"/>
  <c r="AI56" i="7" s="1"/>
  <c r="I16" i="2" s="1"/>
  <c r="I60" i="2" s="1"/>
  <c r="AF33" i="7"/>
  <c r="AE33" i="7"/>
  <c r="AD33" i="7"/>
  <c r="AC33" i="7"/>
  <c r="AB33" i="7"/>
  <c r="AA33" i="7"/>
  <c r="Z33" i="7"/>
  <c r="Y33" i="7"/>
  <c r="X33" i="7"/>
  <c r="W33" i="7"/>
  <c r="V33" i="7"/>
  <c r="U33" i="7"/>
  <c r="T33" i="7"/>
  <c r="S33" i="7"/>
  <c r="R33" i="7"/>
  <c r="Q33" i="7"/>
  <c r="P33" i="7"/>
  <c r="O33" i="7"/>
  <c r="N33" i="7"/>
  <c r="M33" i="7"/>
  <c r="L33" i="7"/>
  <c r="K33" i="7"/>
  <c r="J33" i="7"/>
  <c r="I33" i="7"/>
  <c r="H33" i="7"/>
  <c r="G33" i="7"/>
  <c r="F33" i="7"/>
  <c r="E33" i="7"/>
  <c r="D33" i="7"/>
  <c r="C33" i="7"/>
  <c r="B33" i="7"/>
  <c r="BS31" i="7"/>
  <c r="BR31" i="7"/>
  <c r="BQ31" i="7"/>
  <c r="BP31" i="7"/>
  <c r="BO31" i="7"/>
  <c r="BN31" i="7"/>
  <c r="BM31" i="7"/>
  <c r="BL31" i="7"/>
  <c r="BK31" i="7"/>
  <c r="BJ31" i="7"/>
  <c r="BI31" i="7"/>
  <c r="BH31" i="7"/>
  <c r="BG31" i="7"/>
  <c r="BF31" i="7"/>
  <c r="BE31" i="7"/>
  <c r="BD31" i="7"/>
  <c r="BC31" i="7"/>
  <c r="BE55" i="7" s="1"/>
  <c r="R15" i="2" s="1"/>
  <c r="BB31" i="7"/>
  <c r="BA31" i="7"/>
  <c r="AZ31" i="7"/>
  <c r="AY31" i="7"/>
  <c r="AX31" i="7"/>
  <c r="AW31" i="7"/>
  <c r="AV31" i="7"/>
  <c r="AU31" i="7"/>
  <c r="AT31" i="7"/>
  <c r="AS31" i="7"/>
  <c r="AR31" i="7"/>
  <c r="AQ31" i="7"/>
  <c r="AP31" i="7"/>
  <c r="AO31" i="7"/>
  <c r="AN31" i="7"/>
  <c r="AM31" i="7"/>
  <c r="AO55" i="7" s="1"/>
  <c r="K15" i="2" s="1"/>
  <c r="K59" i="2" s="1"/>
  <c r="AL31" i="7"/>
  <c r="AK31" i="7"/>
  <c r="AJ31" i="7"/>
  <c r="AI31" i="7"/>
  <c r="AH31" i="7"/>
  <c r="AG31" i="7"/>
  <c r="AF31" i="7"/>
  <c r="AE31" i="7"/>
  <c r="AD31" i="7"/>
  <c r="AC31" i="7"/>
  <c r="AB31" i="7"/>
  <c r="AA31" i="7"/>
  <c r="Z31" i="7"/>
  <c r="Y31" i="7"/>
  <c r="X31" i="7"/>
  <c r="W31" i="7"/>
  <c r="Y55" i="7" s="1"/>
  <c r="V31" i="7"/>
  <c r="U31" i="7"/>
  <c r="T31" i="7"/>
  <c r="S31" i="7"/>
  <c r="R31" i="7"/>
  <c r="Q31" i="7"/>
  <c r="P31" i="7"/>
  <c r="O31" i="7"/>
  <c r="N31" i="7"/>
  <c r="M31" i="7"/>
  <c r="L31" i="7"/>
  <c r="K31" i="7"/>
  <c r="J31" i="7"/>
  <c r="I31" i="7"/>
  <c r="H31" i="7"/>
  <c r="G31" i="7"/>
  <c r="I55" i="7" s="1"/>
  <c r="F31" i="7"/>
  <c r="E31" i="7"/>
  <c r="D31" i="7"/>
  <c r="C31" i="7"/>
  <c r="B31" i="7"/>
  <c r="C29" i="7"/>
  <c r="D29" i="7"/>
  <c r="E29" i="7"/>
  <c r="F29" i="7"/>
  <c r="G29" i="7"/>
  <c r="H29" i="7"/>
  <c r="I29" i="7"/>
  <c r="J29" i="7"/>
  <c r="K29" i="7"/>
  <c r="L29" i="7"/>
  <c r="M29" i="7"/>
  <c r="N29" i="7"/>
  <c r="O29" i="7"/>
  <c r="P29" i="7"/>
  <c r="R54" i="7" s="1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I54" i="7" s="1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BB29" i="7"/>
  <c r="BC29" i="7"/>
  <c r="BD29" i="7"/>
  <c r="BE29" i="7"/>
  <c r="BF29" i="7"/>
  <c r="BG29" i="7"/>
  <c r="BH29" i="7"/>
  <c r="BI29" i="7"/>
  <c r="BJ29" i="7"/>
  <c r="BK29" i="7"/>
  <c r="BL29" i="7"/>
  <c r="BM29" i="7"/>
  <c r="BN29" i="7"/>
  <c r="BO29" i="7"/>
  <c r="BP29" i="7"/>
  <c r="BQ29" i="7"/>
  <c r="BR29" i="7"/>
  <c r="BS29" i="7"/>
  <c r="B29" i="7"/>
  <c r="L72" i="2" l="1"/>
  <c r="V224" i="2"/>
  <c r="V153" i="2"/>
  <c r="V222" i="2"/>
  <c r="V273" i="2"/>
  <c r="L273" i="2"/>
  <c r="L134" i="2"/>
  <c r="Q134" i="2"/>
  <c r="Y115" i="2"/>
  <c r="X129" i="2"/>
  <c r="Y116" i="2"/>
  <c r="X130" i="2"/>
  <c r="C16" i="17"/>
  <c r="C20" i="17" s="1"/>
  <c r="V134" i="2"/>
  <c r="L220" i="2"/>
  <c r="L224" i="2"/>
  <c r="O55" i="7"/>
  <c r="AE55" i="7"/>
  <c r="H15" i="2" s="1"/>
  <c r="H59" i="2" s="1"/>
  <c r="I56" i="7"/>
  <c r="Y56" i="7"/>
  <c r="AO56" i="7"/>
  <c r="K16" i="2" s="1"/>
  <c r="K60" i="2" s="1"/>
  <c r="BE56" i="7"/>
  <c r="R16" i="2" s="1"/>
  <c r="R60" i="2" s="1"/>
  <c r="AI57" i="7"/>
  <c r="I17" i="2" s="1"/>
  <c r="I61" i="2" s="1"/>
  <c r="AY57" i="7"/>
  <c r="O17" i="2" s="1"/>
  <c r="O61" i="2" s="1"/>
  <c r="BO57" i="7"/>
  <c r="U17" i="2" s="1"/>
  <c r="U61" i="2" s="1"/>
  <c r="L58" i="7"/>
  <c r="AB58" i="7"/>
  <c r="AR58" i="7"/>
  <c r="M18" i="2" s="1"/>
  <c r="M62" i="2" s="1"/>
  <c r="O59" i="7"/>
  <c r="AE59" i="7"/>
  <c r="H19" i="2" s="1"/>
  <c r="H63" i="2" s="1"/>
  <c r="I60" i="7"/>
  <c r="Y60" i="7"/>
  <c r="AO60" i="7"/>
  <c r="K20" i="2" s="1"/>
  <c r="K64" i="2" s="1"/>
  <c r="BE60" i="7"/>
  <c r="R20" i="2" s="1"/>
  <c r="R64" i="2" s="1"/>
  <c r="AI55" i="7"/>
  <c r="I15" i="2" s="1"/>
  <c r="I59" i="2" s="1"/>
  <c r="AY55" i="7"/>
  <c r="O15" i="2" s="1"/>
  <c r="O59" i="2" s="1"/>
  <c r="BO55" i="7"/>
  <c r="U15" i="2" s="1"/>
  <c r="BI56" i="7"/>
  <c r="S16" i="2" s="1"/>
  <c r="O57" i="7"/>
  <c r="AE57" i="7"/>
  <c r="H17" i="2" s="1"/>
  <c r="H61" i="2" s="1"/>
  <c r="AV58" i="7"/>
  <c r="N18" i="2" s="1"/>
  <c r="N62" i="2" s="1"/>
  <c r="BL58" i="7"/>
  <c r="T18" i="2" s="1"/>
  <c r="T62" i="2" s="1"/>
  <c r="AI59" i="7"/>
  <c r="I19" i="2" s="1"/>
  <c r="I63" i="2" s="1"/>
  <c r="AV55" i="7"/>
  <c r="N15" i="2" s="1"/>
  <c r="N59" i="2" s="1"/>
  <c r="BI58" i="7"/>
  <c r="S18" i="2" s="1"/>
  <c r="S62" i="2" s="1"/>
  <c r="V57" i="7"/>
  <c r="BI54" i="7"/>
  <c r="S14" i="2" s="1"/>
  <c r="S58" i="2" s="1"/>
  <c r="I54" i="7"/>
  <c r="I62" i="7" s="1"/>
  <c r="V55" i="7"/>
  <c r="AL55" i="7"/>
  <c r="J15" i="2" s="1"/>
  <c r="J59" i="2" s="1"/>
  <c r="BB55" i="7"/>
  <c r="P15" i="2" s="1"/>
  <c r="P59" i="2" s="1"/>
  <c r="BR55" i="7"/>
  <c r="W15" i="2" s="1"/>
  <c r="AV56" i="7"/>
  <c r="N16" i="2" s="1"/>
  <c r="N60" i="2" s="1"/>
  <c r="BL56" i="7"/>
  <c r="T16" i="2" s="1"/>
  <c r="T60" i="2" s="1"/>
  <c r="R57" i="7"/>
  <c r="AI58" i="7"/>
  <c r="I18" i="2" s="1"/>
  <c r="I62" i="2" s="1"/>
  <c r="AY58" i="7"/>
  <c r="O18" i="2" s="1"/>
  <c r="O62" i="2" s="1"/>
  <c r="BO58" i="7"/>
  <c r="U18" i="2" s="1"/>
  <c r="U62" i="2" s="1"/>
  <c r="V59" i="7"/>
  <c r="AL59" i="7"/>
  <c r="J19" i="2" s="1"/>
  <c r="J63" i="2" s="1"/>
  <c r="BB59" i="7"/>
  <c r="P19" i="2" s="1"/>
  <c r="P63" i="2" s="1"/>
  <c r="BR59" i="7"/>
  <c r="W19" i="2" s="1"/>
  <c r="AV60" i="7"/>
  <c r="N20" i="2" s="1"/>
  <c r="N64" i="2" s="1"/>
  <c r="BL60" i="7"/>
  <c r="T20" i="2" s="1"/>
  <c r="T64" i="2" s="1"/>
  <c r="BE54" i="7"/>
  <c r="R14" i="2" s="1"/>
  <c r="R58" i="2" s="1"/>
  <c r="AO54" i="7"/>
  <c r="Y54" i="7"/>
  <c r="BL54" i="7"/>
  <c r="T14" i="2" s="1"/>
  <c r="T58" i="2" s="1"/>
  <c r="AV54" i="7"/>
  <c r="N14" i="2" s="1"/>
  <c r="N58" i="2" s="1"/>
  <c r="BL55" i="7"/>
  <c r="T15" i="2" s="1"/>
  <c r="R56" i="7"/>
  <c r="L57" i="7"/>
  <c r="AB57" i="7"/>
  <c r="AR57" i="7"/>
  <c r="M17" i="2" s="1"/>
  <c r="M61" i="2" s="1"/>
  <c r="BL59" i="7"/>
  <c r="T19" i="2" s="1"/>
  <c r="T63" i="2" s="1"/>
  <c r="R60" i="7"/>
  <c r="AE54" i="7"/>
  <c r="O54" i="7"/>
  <c r="BR54" i="7"/>
  <c r="BB54" i="7"/>
  <c r="P14" i="2" s="1"/>
  <c r="P58" i="2" s="1"/>
  <c r="AL54" i="7"/>
  <c r="V54" i="7"/>
  <c r="R55" i="7"/>
  <c r="L56" i="7"/>
  <c r="AB56" i="7"/>
  <c r="AR56" i="7"/>
  <c r="M16" i="2" s="1"/>
  <c r="M60" i="2" s="1"/>
  <c r="AL57" i="7"/>
  <c r="J17" i="2" s="1"/>
  <c r="J61" i="2" s="1"/>
  <c r="BB57" i="7"/>
  <c r="P17" i="2" s="1"/>
  <c r="P61" i="2" s="1"/>
  <c r="BR57" i="7"/>
  <c r="W17" i="2" s="1"/>
  <c r="W61" i="2" s="1"/>
  <c r="O58" i="7"/>
  <c r="AE58" i="7"/>
  <c r="H62" i="2" s="1"/>
  <c r="R59" i="7"/>
  <c r="AB60" i="7"/>
  <c r="AR60" i="7"/>
  <c r="M20" i="2" s="1"/>
  <c r="M64" i="2" s="1"/>
  <c r="AY59" i="7"/>
  <c r="O19" i="2" s="1"/>
  <c r="O63" i="2" s="1"/>
  <c r="BO59" i="7"/>
  <c r="U19" i="2" s="1"/>
  <c r="U63" i="2" s="1"/>
  <c r="BI60" i="7"/>
  <c r="S20" i="2" s="1"/>
  <c r="S64" i="2" s="1"/>
  <c r="AR54" i="7"/>
  <c r="M14" i="2" s="1"/>
  <c r="M58" i="2" s="1"/>
  <c r="AB54" i="7"/>
  <c r="L54" i="7"/>
  <c r="L55" i="7"/>
  <c r="AB55" i="7"/>
  <c r="AR55" i="7"/>
  <c r="M15" i="2" s="1"/>
  <c r="M59" i="2" s="1"/>
  <c r="V56" i="7"/>
  <c r="AL56" i="7"/>
  <c r="J16" i="2" s="1"/>
  <c r="J60" i="2" s="1"/>
  <c r="BB56" i="7"/>
  <c r="P16" i="2" s="1"/>
  <c r="P60" i="2" s="1"/>
  <c r="BR56" i="7"/>
  <c r="W16" i="2" s="1"/>
  <c r="W60" i="2" s="1"/>
  <c r="BL57" i="7"/>
  <c r="T17" i="2" s="1"/>
  <c r="T61" i="2" s="1"/>
  <c r="Y58" i="7"/>
  <c r="AO58" i="7"/>
  <c r="K18" i="2" s="1"/>
  <c r="K62" i="2" s="1"/>
  <c r="BE58" i="7"/>
  <c r="R18" i="2" s="1"/>
  <c r="R62" i="2" s="1"/>
  <c r="L59" i="7"/>
  <c r="AB59" i="7"/>
  <c r="AR59" i="7"/>
  <c r="M19" i="2" s="1"/>
  <c r="M63" i="2" s="1"/>
  <c r="AL60" i="7"/>
  <c r="J20" i="2" s="1"/>
  <c r="J64" i="2" s="1"/>
  <c r="BB60" i="7"/>
  <c r="P20" i="2" s="1"/>
  <c r="P64" i="2" s="1"/>
  <c r="BR60" i="7"/>
  <c r="W20" i="2" s="1"/>
  <c r="BO54" i="7"/>
  <c r="U14" i="2" s="1"/>
  <c r="AY54" i="7"/>
  <c r="BI55" i="7"/>
  <c r="S15" i="2" s="1"/>
  <c r="O56" i="7"/>
  <c r="AE56" i="7"/>
  <c r="H16" i="2" s="1"/>
  <c r="H60" i="2" s="1"/>
  <c r="I57" i="7"/>
  <c r="Y57" i="7"/>
  <c r="AO57" i="7"/>
  <c r="K17" i="2" s="1"/>
  <c r="K61" i="2" s="1"/>
  <c r="BE57" i="7"/>
  <c r="R17" i="2" s="1"/>
  <c r="R61" i="2" s="1"/>
  <c r="R58" i="7"/>
  <c r="BI59" i="7"/>
  <c r="S19" i="2" s="1"/>
  <c r="S63" i="2" s="1"/>
  <c r="O60" i="7"/>
  <c r="AE60" i="7"/>
  <c r="H20" i="2" s="1"/>
  <c r="H64" i="2" s="1"/>
  <c r="K14" i="2"/>
  <c r="K58" i="2" s="1"/>
  <c r="AV62" i="7"/>
  <c r="H14" i="2"/>
  <c r="J14" i="2"/>
  <c r="J58" i="2" s="1"/>
  <c r="I14" i="2"/>
  <c r="I58" i="2" s="1"/>
  <c r="L153" i="2"/>
  <c r="L223" i="2"/>
  <c r="L222" i="2"/>
  <c r="L221" i="2"/>
  <c r="AF76" i="2"/>
  <c r="AF82" i="2"/>
  <c r="AF84" i="2"/>
  <c r="AF83" i="2"/>
  <c r="AF85" i="2"/>
  <c r="X118" i="2"/>
  <c r="AG112" i="2"/>
  <c r="AF81" i="2"/>
  <c r="AA86" i="2"/>
  <c r="AA112" i="2"/>
  <c r="AA126" i="2" s="1"/>
  <c r="R59" i="2"/>
  <c r="S71" i="2"/>
  <c r="V71" i="2" s="1"/>
  <c r="V27" i="2"/>
  <c r="S69" i="2"/>
  <c r="V69" i="2" s="1"/>
  <c r="V25" i="2"/>
  <c r="S68" i="2"/>
  <c r="V68" i="2" s="1"/>
  <c r="V24" i="2"/>
  <c r="S70" i="2"/>
  <c r="V70" i="2" s="1"/>
  <c r="V26" i="2"/>
  <c r="R63" i="2"/>
  <c r="Q224" i="2"/>
  <c r="Q221" i="2"/>
  <c r="Q220" i="2"/>
  <c r="Q273" i="2"/>
  <c r="Q223" i="2"/>
  <c r="Q222" i="2"/>
  <c r="Q153" i="2"/>
  <c r="W62" i="2"/>
  <c r="W68" i="2"/>
  <c r="X68" i="2"/>
  <c r="W71" i="2"/>
  <c r="X27" i="2"/>
  <c r="W69" i="2"/>
  <c r="X111" i="2"/>
  <c r="X125" i="2" s="1"/>
  <c r="AA75" i="2"/>
  <c r="AA77" i="2" s="1"/>
  <c r="W70" i="2"/>
  <c r="U72" i="2"/>
  <c r="T72" i="2"/>
  <c r="S28" i="2"/>
  <c r="U28" i="2"/>
  <c r="T28" i="2"/>
  <c r="W28" i="2"/>
  <c r="G21" i="8"/>
  <c r="D21" i="8"/>
  <c r="L21" i="8"/>
  <c r="H21" i="8"/>
  <c r="E21" i="8"/>
  <c r="M21" i="8"/>
  <c r="K21" i="8"/>
  <c r="E29" i="8"/>
  <c r="J21" i="8"/>
  <c r="I21" i="8"/>
  <c r="BS43" i="7"/>
  <c r="BS47" i="7" s="1"/>
  <c r="BS49" i="7" s="1"/>
  <c r="BK43" i="7"/>
  <c r="BK47" i="7" s="1"/>
  <c r="BK49" i="7" s="1"/>
  <c r="BC43" i="7"/>
  <c r="BC47" i="7" s="1"/>
  <c r="BC49" i="7" s="1"/>
  <c r="AU43" i="7"/>
  <c r="AU47" i="7" s="1"/>
  <c r="AU49" i="7" s="1"/>
  <c r="AM43" i="7"/>
  <c r="AM47" i="7" s="1"/>
  <c r="AM49" i="7" s="1"/>
  <c r="AE43" i="7"/>
  <c r="AE47" i="7" s="1"/>
  <c r="AE49" i="7" s="1"/>
  <c r="W43" i="7"/>
  <c r="W47" i="7" s="1"/>
  <c r="W49" i="7" s="1"/>
  <c r="O43" i="7"/>
  <c r="O47" i="7" s="1"/>
  <c r="O49" i="7" s="1"/>
  <c r="G43" i="7"/>
  <c r="G47" i="7" s="1"/>
  <c r="G49" i="7" s="1"/>
  <c r="AL43" i="7"/>
  <c r="AL47" i="7" s="1"/>
  <c r="AL49" i="7" s="1"/>
  <c r="AT43" i="7"/>
  <c r="AT47" i="7" s="1"/>
  <c r="AT49" i="7" s="1"/>
  <c r="F43" i="7"/>
  <c r="F47" i="7" s="1"/>
  <c r="F49" i="7" s="1"/>
  <c r="BP43" i="7"/>
  <c r="BP47" i="7" s="1"/>
  <c r="BP49" i="7" s="1"/>
  <c r="BH43" i="7"/>
  <c r="BH47" i="7" s="1"/>
  <c r="BH49" i="7" s="1"/>
  <c r="AZ43" i="7"/>
  <c r="AZ47" i="7" s="1"/>
  <c r="AZ49" i="7" s="1"/>
  <c r="AR43" i="7"/>
  <c r="AR47" i="7" s="1"/>
  <c r="AR49" i="7" s="1"/>
  <c r="AJ43" i="7"/>
  <c r="AJ47" i="7" s="1"/>
  <c r="AJ49" i="7" s="1"/>
  <c r="AB43" i="7"/>
  <c r="AB47" i="7" s="1"/>
  <c r="AB49" i="7" s="1"/>
  <c r="T43" i="7"/>
  <c r="T47" i="7" s="1"/>
  <c r="T49" i="7" s="1"/>
  <c r="L43" i="7"/>
  <c r="L47" i="7" s="1"/>
  <c r="L49" i="7" s="1"/>
  <c r="D43" i="7"/>
  <c r="D47" i="7" s="1"/>
  <c r="D49" i="7" s="1"/>
  <c r="BJ43" i="7"/>
  <c r="BJ47" i="7" s="1"/>
  <c r="BJ49" i="7" s="1"/>
  <c r="V43" i="7"/>
  <c r="V47" i="7" s="1"/>
  <c r="V49" i="7" s="1"/>
  <c r="BR43" i="7"/>
  <c r="BR47" i="7" s="1"/>
  <c r="BR49" i="7" s="1"/>
  <c r="AD43" i="7"/>
  <c r="AD47" i="7" s="1"/>
  <c r="AD49" i="7" s="1"/>
  <c r="BB43" i="7"/>
  <c r="BB47" i="7" s="1"/>
  <c r="BB49" i="7" s="1"/>
  <c r="N43" i="7"/>
  <c r="N47" i="7" s="1"/>
  <c r="N49" i="7" s="1"/>
  <c r="BM43" i="7"/>
  <c r="BM47" i="7" s="1"/>
  <c r="BM49" i="7" s="1"/>
  <c r="BE43" i="7"/>
  <c r="BE47" i="7" s="1"/>
  <c r="BE49" i="7" s="1"/>
  <c r="AW43" i="7"/>
  <c r="AW47" i="7" s="1"/>
  <c r="AW49" i="7" s="1"/>
  <c r="AO43" i="7"/>
  <c r="AO47" i="7" s="1"/>
  <c r="AO49" i="7" s="1"/>
  <c r="AG43" i="7"/>
  <c r="AG47" i="7" s="1"/>
  <c r="AG49" i="7" s="1"/>
  <c r="Y43" i="7"/>
  <c r="Y47" i="7" s="1"/>
  <c r="Y49" i="7" s="1"/>
  <c r="Q43" i="7"/>
  <c r="Q47" i="7" s="1"/>
  <c r="Q49" i="7" s="1"/>
  <c r="I43" i="7"/>
  <c r="I47" i="7" s="1"/>
  <c r="I49" i="7" s="1"/>
  <c r="BQ43" i="7"/>
  <c r="BQ47" i="7" s="1"/>
  <c r="BQ49" i="7" s="1"/>
  <c r="BI43" i="7"/>
  <c r="BI47" i="7" s="1"/>
  <c r="BI49" i="7" s="1"/>
  <c r="BA43" i="7"/>
  <c r="BA47" i="7" s="1"/>
  <c r="BA49" i="7" s="1"/>
  <c r="AS43" i="7"/>
  <c r="AS47" i="7" s="1"/>
  <c r="AS49" i="7" s="1"/>
  <c r="AK43" i="7"/>
  <c r="AK47" i="7" s="1"/>
  <c r="AK49" i="7" s="1"/>
  <c r="AC43" i="7"/>
  <c r="AC47" i="7" s="1"/>
  <c r="AC49" i="7" s="1"/>
  <c r="U43" i="7"/>
  <c r="U47" i="7" s="1"/>
  <c r="U49" i="7" s="1"/>
  <c r="M43" i="7"/>
  <c r="M47" i="7" s="1"/>
  <c r="M49" i="7" s="1"/>
  <c r="E43" i="7"/>
  <c r="E47" i="7" s="1"/>
  <c r="E49" i="7" s="1"/>
  <c r="BO43" i="7"/>
  <c r="BO47" i="7" s="1"/>
  <c r="BO49" i="7" s="1"/>
  <c r="BN43" i="7"/>
  <c r="BN47" i="7" s="1"/>
  <c r="BN49" i="7" s="1"/>
  <c r="BF43" i="7"/>
  <c r="BF47" i="7" s="1"/>
  <c r="BF49" i="7" s="1"/>
  <c r="AX43" i="7"/>
  <c r="AX47" i="7" s="1"/>
  <c r="AX49" i="7" s="1"/>
  <c r="AP43" i="7"/>
  <c r="AP47" i="7" s="1"/>
  <c r="AP49" i="7" s="1"/>
  <c r="AH43" i="7"/>
  <c r="AH47" i="7" s="1"/>
  <c r="AH49" i="7" s="1"/>
  <c r="Z43" i="7"/>
  <c r="Z47" i="7" s="1"/>
  <c r="Z49" i="7" s="1"/>
  <c r="R43" i="7"/>
  <c r="R47" i="7" s="1"/>
  <c r="R49" i="7" s="1"/>
  <c r="J43" i="7"/>
  <c r="J47" i="7" s="1"/>
  <c r="J49" i="7" s="1"/>
  <c r="B43" i="7"/>
  <c r="B47" i="7" s="1"/>
  <c r="B49" i="7" s="1"/>
  <c r="BL43" i="7"/>
  <c r="BL47" i="7" s="1"/>
  <c r="BL49" i="7" s="1"/>
  <c r="BD43" i="7"/>
  <c r="BD47" i="7" s="1"/>
  <c r="BD49" i="7" s="1"/>
  <c r="AV43" i="7"/>
  <c r="AV47" i="7" s="1"/>
  <c r="AV49" i="7" s="1"/>
  <c r="AN43" i="7"/>
  <c r="AN47" i="7" s="1"/>
  <c r="AN49" i="7" s="1"/>
  <c r="AF43" i="7"/>
  <c r="AF47" i="7" s="1"/>
  <c r="AF49" i="7" s="1"/>
  <c r="X43" i="7"/>
  <c r="X47" i="7" s="1"/>
  <c r="X49" i="7" s="1"/>
  <c r="P43" i="7"/>
  <c r="P47" i="7" s="1"/>
  <c r="P49" i="7" s="1"/>
  <c r="H43" i="7"/>
  <c r="H47" i="7" s="1"/>
  <c r="H49" i="7" s="1"/>
  <c r="C43" i="7"/>
  <c r="C47" i="7" s="1"/>
  <c r="C49" i="7" s="1"/>
  <c r="K43" i="7"/>
  <c r="K47" i="7" s="1"/>
  <c r="K49" i="7" s="1"/>
  <c r="S43" i="7"/>
  <c r="S47" i="7" s="1"/>
  <c r="S49" i="7" s="1"/>
  <c r="AA43" i="7"/>
  <c r="AA47" i="7" s="1"/>
  <c r="AA49" i="7" s="1"/>
  <c r="AI43" i="7"/>
  <c r="AI47" i="7" s="1"/>
  <c r="AI49" i="7" s="1"/>
  <c r="AQ43" i="7"/>
  <c r="AQ47" i="7" s="1"/>
  <c r="AQ49" i="7" s="1"/>
  <c r="AY43" i="7"/>
  <c r="AY47" i="7" s="1"/>
  <c r="AY49" i="7" s="1"/>
  <c r="BG43" i="7"/>
  <c r="BG47" i="7" s="1"/>
  <c r="BG49" i="7" s="1"/>
  <c r="Y118" i="2" l="1"/>
  <c r="Y139" i="2" s="1"/>
  <c r="Z116" i="2"/>
  <c r="Y130" i="2"/>
  <c r="Z115" i="2"/>
  <c r="Y129" i="2"/>
  <c r="X139" i="2"/>
  <c r="X132" i="2"/>
  <c r="Y132" i="2"/>
  <c r="S60" i="2"/>
  <c r="V60" i="2" s="1"/>
  <c r="X16" i="2"/>
  <c r="Y16" i="2" s="1"/>
  <c r="Z16" i="2" s="1"/>
  <c r="U59" i="2"/>
  <c r="S59" i="2"/>
  <c r="X59" i="2"/>
  <c r="T59" i="2"/>
  <c r="T65" i="2" s="1"/>
  <c r="T88" i="2" s="1"/>
  <c r="T90" i="2" s="1"/>
  <c r="L59" i="2"/>
  <c r="L15" i="2"/>
  <c r="L64" i="2"/>
  <c r="L63" i="2"/>
  <c r="W64" i="2"/>
  <c r="X69" i="2"/>
  <c r="L16" i="2"/>
  <c r="X63" i="2"/>
  <c r="X64" i="2"/>
  <c r="Y27" i="2"/>
  <c r="X71" i="2"/>
  <c r="X61" i="2"/>
  <c r="L60" i="2"/>
  <c r="X62" i="2"/>
  <c r="X70" i="2"/>
  <c r="X60" i="2"/>
  <c r="I65" i="2"/>
  <c r="I88" i="2" s="1"/>
  <c r="I90" i="2" s="1"/>
  <c r="W63" i="2"/>
  <c r="W59" i="2"/>
  <c r="Q18" i="2"/>
  <c r="V16" i="2"/>
  <c r="V62" i="2"/>
  <c r="N65" i="2"/>
  <c r="N88" i="2" s="1"/>
  <c r="N90" i="2" s="1"/>
  <c r="V61" i="2"/>
  <c r="L19" i="2"/>
  <c r="Q61" i="2"/>
  <c r="AY62" i="7"/>
  <c r="S21" i="2"/>
  <c r="V64" i="2"/>
  <c r="I21" i="2"/>
  <c r="L17" i="2"/>
  <c r="V18" i="2"/>
  <c r="Q19" i="2"/>
  <c r="O14" i="2"/>
  <c r="O58" i="2" s="1"/>
  <c r="O65" i="2" s="1"/>
  <c r="O88" i="2" s="1"/>
  <c r="O90" i="2" s="1"/>
  <c r="Q63" i="2"/>
  <c r="R62" i="7"/>
  <c r="V62" i="7"/>
  <c r="Q17" i="2"/>
  <c r="V20" i="2"/>
  <c r="AI62" i="7"/>
  <c r="AE62" i="7"/>
  <c r="Q62" i="2"/>
  <c r="AR62" i="7"/>
  <c r="BL62" i="7"/>
  <c r="T21" i="2"/>
  <c r="L20" i="2"/>
  <c r="Q15" i="2"/>
  <c r="V15" i="2"/>
  <c r="BB62" i="7"/>
  <c r="K65" i="2"/>
  <c r="K88" i="2" s="1"/>
  <c r="K90" i="2" s="1"/>
  <c r="BR62" i="7"/>
  <c r="Q59" i="2"/>
  <c r="P65" i="2"/>
  <c r="P88" i="2" s="1"/>
  <c r="P90" i="2" s="1"/>
  <c r="Q16" i="2"/>
  <c r="V19" i="2"/>
  <c r="BI62" i="7"/>
  <c r="Y62" i="7"/>
  <c r="Q60" i="2"/>
  <c r="V63" i="2"/>
  <c r="L14" i="2"/>
  <c r="U58" i="2"/>
  <c r="U65" i="2" s="1"/>
  <c r="U88" i="2" s="1"/>
  <c r="U90" i="2" s="1"/>
  <c r="U21" i="2"/>
  <c r="V14" i="2"/>
  <c r="P21" i="2"/>
  <c r="R21" i="2"/>
  <c r="L61" i="2"/>
  <c r="O62" i="7"/>
  <c r="AO62" i="7"/>
  <c r="M21" i="2"/>
  <c r="H58" i="2"/>
  <c r="H65" i="2" s="1"/>
  <c r="H88" i="2" s="1"/>
  <c r="H90" i="2" s="1"/>
  <c r="L18" i="2"/>
  <c r="AL62" i="7"/>
  <c r="BE62" i="7"/>
  <c r="L62" i="7"/>
  <c r="H21" i="2"/>
  <c r="L62" i="2"/>
  <c r="AB62" i="7"/>
  <c r="K21" i="2"/>
  <c r="V17" i="2"/>
  <c r="BO62" i="7"/>
  <c r="W14" i="2"/>
  <c r="J65" i="2"/>
  <c r="J88" i="2" s="1"/>
  <c r="J90" i="2" s="1"/>
  <c r="J21" i="2"/>
  <c r="Q20" i="2"/>
  <c r="Q64" i="2"/>
  <c r="N21" i="2"/>
  <c r="AH112" i="2"/>
  <c r="AI112" i="2" s="1"/>
  <c r="AJ112" i="2" s="1"/>
  <c r="V28" i="2"/>
  <c r="S72" i="2"/>
  <c r="V72" i="2"/>
  <c r="AF112" i="2"/>
  <c r="AF126" i="2" s="1"/>
  <c r="R65" i="2"/>
  <c r="R88" i="2" s="1"/>
  <c r="R90" i="2" s="1"/>
  <c r="M65" i="2"/>
  <c r="M88" i="2" s="1"/>
  <c r="M90" i="2" s="1"/>
  <c r="X28" i="2"/>
  <c r="Y68" i="2"/>
  <c r="AA105" i="2"/>
  <c r="Y111" i="2"/>
  <c r="Y125" i="2" s="1"/>
  <c r="W72" i="2"/>
  <c r="S65" i="2" l="1"/>
  <c r="V59" i="2"/>
  <c r="AB115" i="2"/>
  <c r="Z129" i="2"/>
  <c r="Z118" i="2"/>
  <c r="AA115" i="2"/>
  <c r="AB116" i="2"/>
  <c r="Z130" i="2"/>
  <c r="AA116" i="2"/>
  <c r="AA130" i="2" s="1"/>
  <c r="X72" i="2"/>
  <c r="Q14" i="2"/>
  <c r="Q21" i="2" s="1"/>
  <c r="O21" i="2"/>
  <c r="AA20" i="2"/>
  <c r="Y64" i="2"/>
  <c r="Y62" i="2"/>
  <c r="Y63" i="2"/>
  <c r="S88" i="2"/>
  <c r="S90" i="2" s="1"/>
  <c r="Y59" i="2"/>
  <c r="Y61" i="2"/>
  <c r="Q58" i="2"/>
  <c r="Q65" i="2" s="1"/>
  <c r="Q88" i="2" s="1"/>
  <c r="Q90" i="2" s="1"/>
  <c r="Y60" i="2"/>
  <c r="Y69" i="2"/>
  <c r="Y70" i="2"/>
  <c r="Z27" i="2"/>
  <c r="Y71" i="2"/>
  <c r="V58" i="2"/>
  <c r="V65" i="2" s="1"/>
  <c r="V88" i="2" s="1"/>
  <c r="V90" i="2" s="1"/>
  <c r="L21" i="2"/>
  <c r="V21" i="2"/>
  <c r="L58" i="2"/>
  <c r="L65" i="2" s="1"/>
  <c r="L88" i="2" s="1"/>
  <c r="L90" i="2" s="1"/>
  <c r="W21" i="2"/>
  <c r="X58" i="2"/>
  <c r="X65" i="2" s="1"/>
  <c r="W58" i="2"/>
  <c r="AK112" i="2"/>
  <c r="AL112" i="2" s="1"/>
  <c r="AM112" i="2" s="1"/>
  <c r="AN112" i="2" s="1"/>
  <c r="AB105" i="2"/>
  <c r="Z111" i="2"/>
  <c r="Y28" i="2"/>
  <c r="AA129" i="2" l="1"/>
  <c r="AA118" i="2"/>
  <c r="AA132" i="2" s="1"/>
  <c r="AA111" i="2"/>
  <c r="AA125" i="2" s="1"/>
  <c r="Z125" i="2"/>
  <c r="Z139" i="2"/>
  <c r="AA139" i="2" s="1"/>
  <c r="AA148" i="2" s="1"/>
  <c r="AA149" i="2" s="1"/>
  <c r="Z132" i="2"/>
  <c r="AB130" i="2"/>
  <c r="AC116" i="2"/>
  <c r="AB129" i="2"/>
  <c r="AC115" i="2"/>
  <c r="AB118" i="2"/>
  <c r="AK126" i="2"/>
  <c r="Y72" i="2"/>
  <c r="AB18" i="2"/>
  <c r="Z62" i="2"/>
  <c r="AA62" i="2" s="1"/>
  <c r="AA18" i="2"/>
  <c r="AB17" i="2"/>
  <c r="Z61" i="2"/>
  <c r="AA61" i="2" s="1"/>
  <c r="AA17" i="2"/>
  <c r="Z69" i="2"/>
  <c r="AA69" i="2" s="1"/>
  <c r="AA25" i="2"/>
  <c r="Z59" i="2"/>
  <c r="AA59" i="2" s="1"/>
  <c r="AA15" i="2"/>
  <c r="AB20" i="2"/>
  <c r="Z64" i="2"/>
  <c r="AA64" i="2" s="1"/>
  <c r="AA24" i="2"/>
  <c r="Z68" i="2"/>
  <c r="AB16" i="2"/>
  <c r="Z60" i="2"/>
  <c r="AA60" i="2" s="1"/>
  <c r="AA16" i="2"/>
  <c r="AB26" i="2"/>
  <c r="Z70" i="2"/>
  <c r="AA70" i="2" s="1"/>
  <c r="Z71" i="2"/>
  <c r="AA71" i="2" s="1"/>
  <c r="AA27" i="2"/>
  <c r="AB19" i="2"/>
  <c r="Z63" i="2"/>
  <c r="AA63" i="2" s="1"/>
  <c r="AA19" i="2"/>
  <c r="AA26" i="2"/>
  <c r="W65" i="2"/>
  <c r="W88" i="2" s="1"/>
  <c r="W90" i="2" s="1"/>
  <c r="Y58" i="2"/>
  <c r="Y65" i="2" s="1"/>
  <c r="X21" i="2"/>
  <c r="AC105" i="2"/>
  <c r="AB111" i="2"/>
  <c r="AB125" i="2" s="1"/>
  <c r="AB68" i="2"/>
  <c r="Z28" i="2"/>
  <c r="AF80" i="2"/>
  <c r="AF86" i="2" s="1"/>
  <c r="AD116" i="2" l="1"/>
  <c r="AC130" i="2"/>
  <c r="AB139" i="2"/>
  <c r="AB132" i="2"/>
  <c r="AC129" i="2"/>
  <c r="AD115" i="2"/>
  <c r="AC118" i="2"/>
  <c r="AB63" i="2"/>
  <c r="Z72" i="2"/>
  <c r="AA68" i="2"/>
  <c r="AA72" i="2" s="1"/>
  <c r="AB59" i="2"/>
  <c r="AA28" i="2"/>
  <c r="AB62" i="2"/>
  <c r="AC18" i="2"/>
  <c r="AB71" i="2"/>
  <c r="AB69" i="2"/>
  <c r="Y90" i="2"/>
  <c r="Z90" i="2" s="1"/>
  <c r="AB64" i="2"/>
  <c r="AB61" i="2"/>
  <c r="AC17" i="2"/>
  <c r="AB60" i="2"/>
  <c r="AC16" i="2"/>
  <c r="AB70" i="2"/>
  <c r="Z58" i="2"/>
  <c r="Z65" i="2" s="1"/>
  <c r="Y21" i="2"/>
  <c r="X88" i="2"/>
  <c r="AF75" i="2"/>
  <c r="AF77" i="2" s="1"/>
  <c r="AD105" i="2"/>
  <c r="AC111" i="2"/>
  <c r="AC125" i="2" s="1"/>
  <c r="AC68" i="2"/>
  <c r="AB28" i="2"/>
  <c r="AC139" i="2" l="1"/>
  <c r="AC132" i="2"/>
  <c r="AD129" i="2"/>
  <c r="AD118" i="2"/>
  <c r="AE115" i="2"/>
  <c r="AE116" i="2"/>
  <c r="AD130" i="2"/>
  <c r="AB72" i="2"/>
  <c r="AA90" i="2"/>
  <c r="X109" i="2"/>
  <c r="AC90" i="2"/>
  <c r="AD90" i="2" s="1"/>
  <c r="AE90" i="2" s="1"/>
  <c r="AD18" i="2"/>
  <c r="AC62" i="2"/>
  <c r="AC64" i="2"/>
  <c r="AD17" i="2"/>
  <c r="AC61" i="2"/>
  <c r="AC63" i="2"/>
  <c r="AC59" i="2"/>
  <c r="AC69" i="2"/>
  <c r="AC71" i="2"/>
  <c r="AD16" i="2"/>
  <c r="AC60" i="2"/>
  <c r="AC70" i="2"/>
  <c r="Y88" i="2"/>
  <c r="Y109" i="2" s="1"/>
  <c r="AA14" i="2"/>
  <c r="AA21" i="2" s="1"/>
  <c r="AB14" i="2"/>
  <c r="AB58" i="2" s="1"/>
  <c r="AB65" i="2" s="1"/>
  <c r="Z21" i="2"/>
  <c r="AE105" i="2"/>
  <c r="AF105" i="2" s="1"/>
  <c r="AD111" i="2"/>
  <c r="AD125" i="2" s="1"/>
  <c r="AC28" i="2"/>
  <c r="AD68" i="2"/>
  <c r="AG116" i="2" l="1"/>
  <c r="AE130" i="2"/>
  <c r="AF116" i="2"/>
  <c r="AF130" i="2" s="1"/>
  <c r="AF115" i="2"/>
  <c r="AE129" i="2"/>
  <c r="AE118" i="2"/>
  <c r="AG115" i="2"/>
  <c r="AD139" i="2"/>
  <c r="AD132" i="2"/>
  <c r="Y113" i="2"/>
  <c r="Y127" i="2" s="1"/>
  <c r="Y123" i="2"/>
  <c r="X113" i="2"/>
  <c r="X138" i="2" s="1"/>
  <c r="X123" i="2"/>
  <c r="AF90" i="2"/>
  <c r="AC72" i="2"/>
  <c r="AE25" i="2"/>
  <c r="AF25" i="2" s="1"/>
  <c r="AD69" i="2"/>
  <c r="AH90" i="2"/>
  <c r="AI90" i="2" s="1"/>
  <c r="AJ90" i="2" s="1"/>
  <c r="AE17" i="2"/>
  <c r="AF17" i="2" s="1"/>
  <c r="AD61" i="2"/>
  <c r="AD59" i="2"/>
  <c r="AE27" i="2"/>
  <c r="AD71" i="2"/>
  <c r="AD64" i="2"/>
  <c r="AE26" i="2"/>
  <c r="AF26" i="2" s="1"/>
  <c r="AD70" i="2"/>
  <c r="AE16" i="2"/>
  <c r="AF16" i="2" s="1"/>
  <c r="AD60" i="2"/>
  <c r="AF19" i="2"/>
  <c r="AD63" i="2"/>
  <c r="AE18" i="2"/>
  <c r="AD62" i="2"/>
  <c r="AB21" i="2"/>
  <c r="AC58" i="2"/>
  <c r="AC65" i="2" s="1"/>
  <c r="Y120" i="2"/>
  <c r="Y134" i="2" s="1"/>
  <c r="AA58" i="2"/>
  <c r="AA65" i="2" s="1"/>
  <c r="AA88" i="2" s="1"/>
  <c r="Z88" i="2"/>
  <c r="Z109" i="2" s="1"/>
  <c r="Z123" i="2" s="1"/>
  <c r="AG105" i="2"/>
  <c r="AE111" i="2"/>
  <c r="AD28" i="2"/>
  <c r="AE24" i="2"/>
  <c r="AG129" i="2" l="1"/>
  <c r="AH115" i="2"/>
  <c r="AG118" i="2"/>
  <c r="AE139" i="2"/>
  <c r="AF139" i="2" s="1"/>
  <c r="AE132" i="2"/>
  <c r="AF118" i="2"/>
  <c r="AF132" i="2" s="1"/>
  <c r="AF129" i="2"/>
  <c r="AF111" i="2"/>
  <c r="AF125" i="2" s="1"/>
  <c r="AE125" i="2"/>
  <c r="AG130" i="2"/>
  <c r="AH116" i="2"/>
  <c r="Y138" i="2"/>
  <c r="X120" i="2"/>
  <c r="X127" i="2"/>
  <c r="AK90" i="2"/>
  <c r="AL90" i="2" s="1"/>
  <c r="AM90" i="2" s="1"/>
  <c r="AN90" i="2" s="1"/>
  <c r="AG19" i="2"/>
  <c r="AE63" i="2"/>
  <c r="AF63" i="2" s="1"/>
  <c r="AD72" i="2"/>
  <c r="AG17" i="2"/>
  <c r="AE61" i="2"/>
  <c r="AF61" i="2" s="1"/>
  <c r="AE64" i="2"/>
  <c r="AF64" i="2" s="1"/>
  <c r="AF20" i="2"/>
  <c r="AE71" i="2"/>
  <c r="AF71" i="2" s="1"/>
  <c r="AG26" i="2"/>
  <c r="AE70" i="2"/>
  <c r="AF70" i="2" s="1"/>
  <c r="AF27" i="2"/>
  <c r="AE69" i="2"/>
  <c r="AF69" i="2" s="1"/>
  <c r="AG18" i="2"/>
  <c r="AE62" i="2"/>
  <c r="AF62" i="2" s="1"/>
  <c r="AE59" i="2"/>
  <c r="AF59" i="2" s="1"/>
  <c r="AF15" i="2"/>
  <c r="AF24" i="2"/>
  <c r="AE68" i="2"/>
  <c r="AF18" i="2"/>
  <c r="AG16" i="2"/>
  <c r="AE60" i="2"/>
  <c r="AF60" i="2" s="1"/>
  <c r="AB88" i="2"/>
  <c r="AB109" i="2" s="1"/>
  <c r="Z113" i="2"/>
  <c r="Z127" i="2" s="1"/>
  <c r="AA109" i="2"/>
  <c r="AA123" i="2" s="1"/>
  <c r="Y254" i="2"/>
  <c r="Y180" i="2"/>
  <c r="Y195" i="2"/>
  <c r="Y140" i="2"/>
  <c r="Y193" i="2"/>
  <c r="Y178" i="2"/>
  <c r="AC21" i="2"/>
  <c r="AD58" i="2"/>
  <c r="AD65" i="2" s="1"/>
  <c r="AE28" i="2"/>
  <c r="AG24" i="2"/>
  <c r="AG68" i="2" s="1"/>
  <c r="AH105" i="2"/>
  <c r="AG111" i="2"/>
  <c r="AG125" i="2" s="1"/>
  <c r="Y141" i="2" l="1"/>
  <c r="AF148" i="2"/>
  <c r="AF149" i="2" s="1"/>
  <c r="AI116" i="2"/>
  <c r="AH130" i="2"/>
  <c r="AG139" i="2"/>
  <c r="AG132" i="2"/>
  <c r="AH129" i="2"/>
  <c r="AH118" i="2"/>
  <c r="AI115" i="2"/>
  <c r="AB123" i="2"/>
  <c r="X178" i="2"/>
  <c r="X245" i="2" s="1"/>
  <c r="X134" i="2"/>
  <c r="X180" i="2"/>
  <c r="X250" i="2" s="1"/>
  <c r="X193" i="2"/>
  <c r="X195" i="2"/>
  <c r="X140" i="2"/>
  <c r="X141" i="2" s="1"/>
  <c r="X254" i="2"/>
  <c r="AF28" i="2"/>
  <c r="AG69" i="2"/>
  <c r="AG71" i="2"/>
  <c r="AH27" i="2"/>
  <c r="AG63" i="2"/>
  <c r="AG60" i="2"/>
  <c r="AH16" i="2"/>
  <c r="AG59" i="2"/>
  <c r="AG70" i="2"/>
  <c r="AH26" i="2"/>
  <c r="AG64" i="2"/>
  <c r="AE72" i="2"/>
  <c r="AF68" i="2"/>
  <c r="AF72" i="2" s="1"/>
  <c r="AG62" i="2"/>
  <c r="AH18" i="2"/>
  <c r="AG61" i="2"/>
  <c r="AH17" i="2"/>
  <c r="AE58" i="2"/>
  <c r="AE65" i="2" s="1"/>
  <c r="AD21" i="2"/>
  <c r="AA113" i="2"/>
  <c r="Z120" i="2"/>
  <c r="Z134" i="2" s="1"/>
  <c r="Z138" i="2"/>
  <c r="Y233" i="2"/>
  <c r="Y282" i="2"/>
  <c r="Y259" i="2"/>
  <c r="AC88" i="2"/>
  <c r="AC109" i="2" s="1"/>
  <c r="Y196" i="2"/>
  <c r="Y203" i="2" s="1"/>
  <c r="AG28" i="2"/>
  <c r="AH24" i="2"/>
  <c r="AH68" i="2" s="1"/>
  <c r="AI105" i="2"/>
  <c r="AH111" i="2"/>
  <c r="AH125" i="2" s="1"/>
  <c r="X143" i="2" l="1"/>
  <c r="X155" i="2" s="1"/>
  <c r="X151" i="2"/>
  <c r="Y143" i="2"/>
  <c r="Y155" i="2" s="1"/>
  <c r="Y158" i="2" s="1"/>
  <c r="Y151" i="2"/>
  <c r="Y168" i="2"/>
  <c r="AJ116" i="2"/>
  <c r="AJ130" i="2" s="1"/>
  <c r="AI130" i="2"/>
  <c r="AI129" i="2"/>
  <c r="AJ115" i="2"/>
  <c r="AI118" i="2"/>
  <c r="AH139" i="2"/>
  <c r="AH132" i="2"/>
  <c r="Y250" i="2"/>
  <c r="Y246" i="2"/>
  <c r="X168" i="2"/>
  <c r="AC123" i="2"/>
  <c r="X246" i="2"/>
  <c r="X196" i="2"/>
  <c r="X203" i="2" s="1"/>
  <c r="X259" i="2"/>
  <c r="X282" i="2"/>
  <c r="X233" i="2"/>
  <c r="X185" i="2" s="1"/>
  <c r="Y185" i="2" s="1"/>
  <c r="AA120" i="2"/>
  <c r="AA127" i="2"/>
  <c r="Y245" i="2"/>
  <c r="Y169" i="2"/>
  <c r="AA138" i="2"/>
  <c r="AA145" i="2" s="1"/>
  <c r="AA146" i="2" s="1"/>
  <c r="AG72" i="2"/>
  <c r="AI18" i="2"/>
  <c r="AH62" i="2"/>
  <c r="AI16" i="2"/>
  <c r="AH60" i="2"/>
  <c r="AH64" i="2"/>
  <c r="AI26" i="2"/>
  <c r="AH70" i="2"/>
  <c r="AH69" i="2"/>
  <c r="AI27" i="2"/>
  <c r="AH71" i="2"/>
  <c r="AH63" i="2"/>
  <c r="AH59" i="2"/>
  <c r="AI17" i="2"/>
  <c r="AH61" i="2"/>
  <c r="AD88" i="2"/>
  <c r="AD109" i="2" s="1"/>
  <c r="AF14" i="2"/>
  <c r="AF21" i="2" s="1"/>
  <c r="AG14" i="2"/>
  <c r="AG58" i="2" s="1"/>
  <c r="AG65" i="2" s="1"/>
  <c r="AE21" i="2"/>
  <c r="Y277" i="2"/>
  <c r="Y276" i="2"/>
  <c r="Z180" i="2"/>
  <c r="Z195" i="2"/>
  <c r="AA195" i="2" s="1"/>
  <c r="Z178" i="2"/>
  <c r="Z193" i="2"/>
  <c r="Z254" i="2"/>
  <c r="Z140" i="2"/>
  <c r="Z141" i="2" s="1"/>
  <c r="Z151" i="2" s="1"/>
  <c r="AJ105" i="2"/>
  <c r="AK105" i="2" s="1"/>
  <c r="AI111" i="2"/>
  <c r="AI125" i="2" s="1"/>
  <c r="AI24" i="2"/>
  <c r="AI68" i="2" s="1"/>
  <c r="AH28" i="2"/>
  <c r="Y230" i="2" l="1"/>
  <c r="Y264" i="2" s="1"/>
  <c r="AK116" i="2"/>
  <c r="X158" i="2"/>
  <c r="Y170" i="2"/>
  <c r="Y291" i="2" s="1"/>
  <c r="AA134" i="2"/>
  <c r="G7" i="21"/>
  <c r="AI139" i="2"/>
  <c r="AI132" i="2"/>
  <c r="AK115" i="2"/>
  <c r="AJ129" i="2"/>
  <c r="AJ118" i="2"/>
  <c r="AL116" i="2"/>
  <c r="AK130" i="2"/>
  <c r="AA224" i="2"/>
  <c r="X183" i="2"/>
  <c r="Y183" i="2" s="1"/>
  <c r="Y188" i="2" s="1"/>
  <c r="D16" i="17"/>
  <c r="D17" i="17" s="1"/>
  <c r="AD123" i="2"/>
  <c r="X169" i="2"/>
  <c r="X170" i="2" s="1"/>
  <c r="X291" i="2" s="1"/>
  <c r="X277" i="2"/>
  <c r="X276" i="2"/>
  <c r="Z143" i="2"/>
  <c r="Z168" i="2"/>
  <c r="AH72" i="2"/>
  <c r="AJ27" i="2"/>
  <c r="AI71" i="2"/>
  <c r="AJ17" i="2"/>
  <c r="AJ61" i="2" s="1"/>
  <c r="AI61" i="2"/>
  <c r="AJ16" i="2"/>
  <c r="AJ60" i="2" s="1"/>
  <c r="AI60" i="2"/>
  <c r="AJ63" i="2"/>
  <c r="AI63" i="2"/>
  <c r="AI64" i="2"/>
  <c r="AJ25" i="2"/>
  <c r="AJ69" i="2" s="1"/>
  <c r="AI69" i="2"/>
  <c r="AJ59" i="2"/>
  <c r="AI59" i="2"/>
  <c r="AJ18" i="2"/>
  <c r="AJ62" i="2" s="1"/>
  <c r="AI62" i="2"/>
  <c r="AJ26" i="2"/>
  <c r="AJ70" i="2" s="1"/>
  <c r="AI70" i="2"/>
  <c r="AA180" i="2"/>
  <c r="AA222" i="2" s="1"/>
  <c r="Z250" i="2"/>
  <c r="AA250" i="2" s="1"/>
  <c r="Z246" i="2"/>
  <c r="AA246" i="2" s="1"/>
  <c r="AA140" i="2"/>
  <c r="AA141" i="2" s="1"/>
  <c r="Z233" i="2"/>
  <c r="Z259" i="2"/>
  <c r="Z282" i="2"/>
  <c r="AA254" i="2"/>
  <c r="Z245" i="2"/>
  <c r="AA245" i="2" s="1"/>
  <c r="AA178" i="2"/>
  <c r="AA221" i="2" s="1"/>
  <c r="AH14" i="2"/>
  <c r="AH58" i="2" s="1"/>
  <c r="AH65" i="2" s="1"/>
  <c r="AG21" i="2"/>
  <c r="AA193" i="2"/>
  <c r="Z196" i="2"/>
  <c r="Z203" i="2" s="1"/>
  <c r="AF58" i="2"/>
  <c r="AF65" i="2" s="1"/>
  <c r="AF88" i="2" s="1"/>
  <c r="AE88" i="2"/>
  <c r="AE109" i="2" s="1"/>
  <c r="AE123" i="2" s="1"/>
  <c r="AJ111" i="2"/>
  <c r="AJ24" i="2"/>
  <c r="AI28" i="2"/>
  <c r="X292" i="2" l="1"/>
  <c r="Y292" i="2"/>
  <c r="X230" i="2"/>
  <c r="X264" i="2" s="1"/>
  <c r="X211" i="2" s="1"/>
  <c r="Y211" i="2" s="1"/>
  <c r="X188" i="2"/>
  <c r="AA168" i="2"/>
  <c r="G9" i="21" s="1"/>
  <c r="G10" i="21" s="1"/>
  <c r="AA151" i="2"/>
  <c r="D24" i="17"/>
  <c r="AA282" i="2"/>
  <c r="AM116" i="2"/>
  <c r="AL130" i="2"/>
  <c r="AJ139" i="2"/>
  <c r="AK139" i="2" s="1"/>
  <c r="AJ132" i="2"/>
  <c r="AK129" i="2"/>
  <c r="AK118" i="2"/>
  <c r="AK132" i="2" s="1"/>
  <c r="AL115" i="2"/>
  <c r="AK111" i="2"/>
  <c r="AK125" i="2" s="1"/>
  <c r="AJ125" i="2"/>
  <c r="AK18" i="2"/>
  <c r="AK62" i="2" s="1"/>
  <c r="AK25" i="2"/>
  <c r="AK69" i="2" s="1"/>
  <c r="Z183" i="2"/>
  <c r="AA183" i="2" s="1"/>
  <c r="Z169" i="2"/>
  <c r="Z170" i="2" s="1"/>
  <c r="Z291" i="2" s="1"/>
  <c r="AA143" i="2"/>
  <c r="D19" i="17"/>
  <c r="AK19" i="2"/>
  <c r="AK63" i="2" s="1"/>
  <c r="AI72" i="2"/>
  <c r="AK17" i="2"/>
  <c r="AL17" i="2" s="1"/>
  <c r="AK16" i="2"/>
  <c r="AK60" i="2" s="1"/>
  <c r="AK24" i="2"/>
  <c r="AJ68" i="2"/>
  <c r="AL105" i="2"/>
  <c r="AM105" i="2" s="1"/>
  <c r="AN105" i="2" s="1"/>
  <c r="AJ64" i="2"/>
  <c r="AK20" i="2"/>
  <c r="AK15" i="2"/>
  <c r="AK26" i="2"/>
  <c r="AJ71" i="2"/>
  <c r="AK27" i="2"/>
  <c r="Z185" i="2"/>
  <c r="AF109" i="2"/>
  <c r="AF123" i="2" s="1"/>
  <c r="AA273" i="2"/>
  <c r="AA259" i="2"/>
  <c r="Z276" i="2"/>
  <c r="AA276" i="2" s="1"/>
  <c r="Z277" i="2"/>
  <c r="AA277" i="2" s="1"/>
  <c r="AA233" i="2"/>
  <c r="AA153" i="2"/>
  <c r="AA223" i="2"/>
  <c r="AA196" i="2"/>
  <c r="AA203" i="2" s="1"/>
  <c r="Z155" i="2"/>
  <c r="AA155" i="2" s="1"/>
  <c r="AI14" i="2"/>
  <c r="AI58" i="2" s="1"/>
  <c r="AI65" i="2" s="1"/>
  <c r="AH21" i="2"/>
  <c r="AG88" i="2"/>
  <c r="AG109" i="2" s="1"/>
  <c r="AJ28" i="2"/>
  <c r="X160" i="2" l="1"/>
  <c r="X262" i="2" s="1"/>
  <c r="X285" i="2" s="1"/>
  <c r="Z292" i="2"/>
  <c r="X268" i="2"/>
  <c r="X209" i="2"/>
  <c r="X210" i="2" s="1"/>
  <c r="X213" i="2" s="1"/>
  <c r="X215" i="2" s="1"/>
  <c r="X162" i="2"/>
  <c r="Y160" i="2"/>
  <c r="K24" i="19"/>
  <c r="L24" i="19" s="1"/>
  <c r="AL18" i="2"/>
  <c r="AL62" i="2" s="1"/>
  <c r="AM115" i="2"/>
  <c r="AL129" i="2"/>
  <c r="AL118" i="2"/>
  <c r="AK148" i="2"/>
  <c r="AL111" i="2"/>
  <c r="AN116" i="2"/>
  <c r="AN130" i="2" s="1"/>
  <c r="AM130" i="2"/>
  <c r="AG123" i="2"/>
  <c r="AL25" i="2"/>
  <c r="AL69" i="2" s="1"/>
  <c r="AL63" i="2"/>
  <c r="Z188" i="2"/>
  <c r="AA274" i="2"/>
  <c r="AA169" i="2"/>
  <c r="AA170" i="2" s="1"/>
  <c r="D22" i="17"/>
  <c r="D23" i="17" s="1"/>
  <c r="AK61" i="2"/>
  <c r="AL16" i="2"/>
  <c r="AM16" i="2" s="1"/>
  <c r="AK71" i="2"/>
  <c r="AL27" i="2"/>
  <c r="AJ72" i="2"/>
  <c r="AA185" i="2"/>
  <c r="AA188" i="2" s="1"/>
  <c r="AL26" i="2"/>
  <c r="AK70" i="2"/>
  <c r="AK28" i="2"/>
  <c r="AK68" i="2"/>
  <c r="AL24" i="2"/>
  <c r="AK59" i="2"/>
  <c r="AM17" i="2"/>
  <c r="AL61" i="2"/>
  <c r="AK64" i="2"/>
  <c r="AL20" i="2"/>
  <c r="AA158" i="2"/>
  <c r="Z158" i="2"/>
  <c r="AH88" i="2"/>
  <c r="AH109" i="2" s="1"/>
  <c r="AJ14" i="2"/>
  <c r="AJ58" i="2" s="1"/>
  <c r="AJ65" i="2" s="1"/>
  <c r="AI21" i="2"/>
  <c r="AA156" i="2"/>
  <c r="AA278" i="2"/>
  <c r="AA279" i="2" s="1"/>
  <c r="K25" i="19" l="1"/>
  <c r="L25" i="19" s="1"/>
  <c r="AA291" i="2"/>
  <c r="AA292" i="2" s="1"/>
  <c r="AL148" i="2"/>
  <c r="AK149" i="2"/>
  <c r="Y262" i="2"/>
  <c r="Y162" i="2"/>
  <c r="Z230" i="2"/>
  <c r="Z264" i="2" s="1"/>
  <c r="Z211" i="2" s="1"/>
  <c r="AM18" i="2"/>
  <c r="AM62" i="2" s="1"/>
  <c r="G12" i="21"/>
  <c r="G13" i="21" s="1"/>
  <c r="AM111" i="2"/>
  <c r="AL125" i="2"/>
  <c r="AL132" i="2"/>
  <c r="AL139" i="2"/>
  <c r="AM129" i="2"/>
  <c r="AN115" i="2"/>
  <c r="AM118" i="2"/>
  <c r="AM25" i="2"/>
  <c r="AN25" i="2" s="1"/>
  <c r="AN69" i="2" s="1"/>
  <c r="AM19" i="2"/>
  <c r="AM63" i="2" s="1"/>
  <c r="AH123" i="2"/>
  <c r="AL60" i="2"/>
  <c r="AK72" i="2"/>
  <c r="AM27" i="2"/>
  <c r="AL71" i="2"/>
  <c r="AN17" i="2"/>
  <c r="AN61" i="2" s="1"/>
  <c r="AM61" i="2"/>
  <c r="AM15" i="2"/>
  <c r="AL59" i="2"/>
  <c r="AL70" i="2"/>
  <c r="AM26" i="2"/>
  <c r="AM20" i="2"/>
  <c r="AL64" i="2"/>
  <c r="AN18" i="2"/>
  <c r="AN62" i="2" s="1"/>
  <c r="AL28" i="2"/>
  <c r="AM24" i="2"/>
  <c r="AL68" i="2"/>
  <c r="AM60" i="2"/>
  <c r="AN16" i="2"/>
  <c r="AN60" i="2" s="1"/>
  <c r="AK14" i="2"/>
  <c r="AK58" i="2" s="1"/>
  <c r="AK65" i="2" s="1"/>
  <c r="AJ21" i="2"/>
  <c r="AI88" i="2"/>
  <c r="AI109" i="2" s="1"/>
  <c r="AA230" i="2" l="1"/>
  <c r="AM148" i="2"/>
  <c r="AM139" i="2" s="1"/>
  <c r="AL149" i="2"/>
  <c r="AA264" i="2"/>
  <c r="AA160" i="2" s="1"/>
  <c r="AA162" i="2" s="1"/>
  <c r="Z160" i="2"/>
  <c r="Z262" i="2" s="1"/>
  <c r="Z285" i="2" s="1"/>
  <c r="Y268" i="2"/>
  <c r="Y285" i="2"/>
  <c r="Y209" i="2"/>
  <c r="AM69" i="2"/>
  <c r="AM132" i="2"/>
  <c r="AN118" i="2"/>
  <c r="AN129" i="2"/>
  <c r="AN19" i="2"/>
  <c r="AN63" i="2" s="1"/>
  <c r="AM125" i="2"/>
  <c r="AN111" i="2"/>
  <c r="AN125" i="2" s="1"/>
  <c r="AI123" i="2"/>
  <c r="AN15" i="2"/>
  <c r="AN59" i="2" s="1"/>
  <c r="AM59" i="2"/>
  <c r="AL72" i="2"/>
  <c r="AM64" i="2"/>
  <c r="AN20" i="2"/>
  <c r="AN64" i="2" s="1"/>
  <c r="AN27" i="2"/>
  <c r="AN71" i="2" s="1"/>
  <c r="AM71" i="2"/>
  <c r="AM28" i="2"/>
  <c r="AN24" i="2"/>
  <c r="AM68" i="2"/>
  <c r="AM70" i="2"/>
  <c r="AN26" i="2"/>
  <c r="AN70" i="2" s="1"/>
  <c r="AK21" i="2"/>
  <c r="AJ88" i="2"/>
  <c r="AJ109" i="2" s="1"/>
  <c r="AJ123" i="2" s="1"/>
  <c r="AA211" i="2"/>
  <c r="Z268" i="2" l="1"/>
  <c r="AA286" i="2"/>
  <c r="AN148" i="2"/>
  <c r="AN149" i="2" s="1"/>
  <c r="AM149" i="2"/>
  <c r="AA262" i="2"/>
  <c r="AA285" i="2" s="1"/>
  <c r="Z162" i="2"/>
  <c r="Y210" i="2"/>
  <c r="Y213" i="2" s="1"/>
  <c r="Y215" i="2" s="1"/>
  <c r="Z209" i="2"/>
  <c r="AN132" i="2"/>
  <c r="AL21" i="2"/>
  <c r="AL58" i="2"/>
  <c r="AL65" i="2" s="1"/>
  <c r="AM72" i="2"/>
  <c r="AN28" i="2"/>
  <c r="AN68" i="2"/>
  <c r="AN72" i="2" s="1"/>
  <c r="AK88" i="2"/>
  <c r="AK109" i="2"/>
  <c r="AL109" i="2" s="1"/>
  <c r="AM109" i="2" s="1"/>
  <c r="AN109" i="2" s="1"/>
  <c r="AN139" i="2" l="1"/>
  <c r="AA268" i="2"/>
  <c r="Z210" i="2"/>
  <c r="Z213" i="2" s="1"/>
  <c r="Z215" i="2" s="1"/>
  <c r="AA209" i="2"/>
  <c r="AA210" i="2" s="1"/>
  <c r="AA213" i="2" s="1"/>
  <c r="AA215" i="2" s="1"/>
  <c r="AK123" i="2"/>
  <c r="AM21" i="2"/>
  <c r="AM58" i="2"/>
  <c r="AM65" i="2" s="1"/>
  <c r="AL88" i="2"/>
  <c r="AL123" i="2" l="1"/>
  <c r="AN21" i="2"/>
  <c r="AN58" i="2"/>
  <c r="AN65" i="2" s="1"/>
  <c r="AN88" i="2" s="1"/>
  <c r="AM88" i="2"/>
  <c r="AM123" i="2" l="1"/>
  <c r="AN123" i="2" l="1"/>
  <c r="P241" i="2" l="1"/>
  <c r="P282" i="2"/>
  <c r="P259" i="2"/>
  <c r="P268" i="2"/>
  <c r="P251" i="2" l="1"/>
  <c r="P281" i="2" l="1"/>
  <c r="P270" i="2"/>
  <c r="P283" i="2" l="1"/>
  <c r="X177" i="2" l="1"/>
  <c r="X242" i="2" s="1"/>
  <c r="Y177" i="2"/>
  <c r="Z177" i="2"/>
  <c r="AA177" i="2" s="1"/>
  <c r="AA220" i="2" l="1"/>
  <c r="D25" i="17"/>
  <c r="X241" i="2"/>
  <c r="X251" i="2" s="1"/>
  <c r="X281" i="2" s="1"/>
  <c r="Z242" i="2"/>
  <c r="Z241" i="2" s="1"/>
  <c r="Z251" i="2" s="1"/>
  <c r="Z270" i="2" s="1"/>
  <c r="Y242" i="2"/>
  <c r="Y241" i="2" s="1"/>
  <c r="Y251" i="2" s="1"/>
  <c r="Y270" i="2" s="1"/>
  <c r="X270" i="2" l="1"/>
  <c r="X176" i="2" s="1"/>
  <c r="X290" i="2" s="1"/>
  <c r="AA242" i="2"/>
  <c r="AA241" i="2" s="1"/>
  <c r="AA251" i="2" s="1"/>
  <c r="Y281" i="2"/>
  <c r="Y283" i="2" s="1"/>
  <c r="Z281" i="2"/>
  <c r="Z283" i="2" s="1"/>
  <c r="X283" i="2"/>
  <c r="X181" i="2" l="1"/>
  <c r="X190" i="2" s="1"/>
  <c r="X217" i="2" s="1"/>
  <c r="X293" i="2"/>
  <c r="AA270" i="2"/>
  <c r="AA281" i="2"/>
  <c r="AA283" i="2" s="1"/>
  <c r="Y176" i="2"/>
  <c r="Y290" i="2" s="1"/>
  <c r="Y181" i="2" l="1"/>
  <c r="Y190" i="2" s="1"/>
  <c r="Y217" i="2" s="1"/>
  <c r="Y293" i="2"/>
  <c r="Z176" i="2"/>
  <c r="Z290" i="2" s="1"/>
  <c r="AA176" i="2" l="1"/>
  <c r="AA290" i="2" s="1"/>
  <c r="Z293" i="2"/>
  <c r="Z181" i="2"/>
  <c r="Z190" i="2" s="1"/>
  <c r="Z217" i="2" s="1"/>
  <c r="AA181" i="2" l="1"/>
  <c r="AA190" i="2" s="1"/>
  <c r="AA217" i="2" s="1"/>
  <c r="AA293" i="2"/>
  <c r="D26" i="17" l="1"/>
  <c r="D27" i="17" s="1"/>
  <c r="D31" i="17" s="1"/>
  <c r="D20" i="17"/>
  <c r="AB113" i="2"/>
  <c r="AB120" i="2" s="1"/>
  <c r="AB254" i="2" s="1"/>
  <c r="AB282" i="2" s="1"/>
  <c r="AB138" i="2" l="1"/>
  <c r="AB259" i="2"/>
  <c r="AB233" i="2"/>
  <c r="AB177" i="2"/>
  <c r="AB193" i="2"/>
  <c r="AB180" i="2"/>
  <c r="AB134" i="2"/>
  <c r="AB178" i="2"/>
  <c r="AB195" i="2"/>
  <c r="AB140" i="2"/>
  <c r="AC113" i="2"/>
  <c r="AB127" i="2"/>
  <c r="AB250" i="2" l="1"/>
  <c r="AB169" i="2"/>
  <c r="AB276" i="2"/>
  <c r="AB277" i="2"/>
  <c r="AC127" i="2"/>
  <c r="AC138" i="2"/>
  <c r="AC120" i="2"/>
  <c r="AB242" i="2"/>
  <c r="AB245" i="2"/>
  <c r="AB183" i="2"/>
  <c r="AB196" i="2"/>
  <c r="AB203" i="2" s="1"/>
  <c r="AB246" i="2"/>
  <c r="AB141" i="2"/>
  <c r="AB151" i="2" s="1"/>
  <c r="AD113" i="2"/>
  <c r="AB185" i="2"/>
  <c r="AB188" i="2" l="1"/>
  <c r="AE113" i="2"/>
  <c r="AF110" i="2"/>
  <c r="AD120" i="2"/>
  <c r="AD127" i="2"/>
  <c r="AD138" i="2"/>
  <c r="AB143" i="2"/>
  <c r="AB168" i="2"/>
  <c r="AB170" i="2" s="1"/>
  <c r="AB291" i="2" s="1"/>
  <c r="AB241" i="2"/>
  <c r="AC177" i="2"/>
  <c r="AC193" i="2"/>
  <c r="AC180" i="2"/>
  <c r="AC134" i="2"/>
  <c r="AC178" i="2"/>
  <c r="AC195" i="2"/>
  <c r="AC140" i="2"/>
  <c r="AC141" i="2" s="1"/>
  <c r="AC151" i="2" s="1"/>
  <c r="AC254" i="2"/>
  <c r="AC282" i="2" s="1"/>
  <c r="AB292" i="2" l="1"/>
  <c r="AC143" i="2"/>
  <c r="AC168" i="2"/>
  <c r="AD140" i="2"/>
  <c r="AD141" i="2" s="1"/>
  <c r="AD151" i="2" s="1"/>
  <c r="AD177" i="2"/>
  <c r="AD193" i="2"/>
  <c r="AD180" i="2"/>
  <c r="AD134" i="2"/>
  <c r="AD178" i="2"/>
  <c r="AD245" i="2" s="1"/>
  <c r="AD195" i="2"/>
  <c r="AD254" i="2"/>
  <c r="AD282" i="2" s="1"/>
  <c r="AC242" i="2"/>
  <c r="AF113" i="2"/>
  <c r="AF124" i="2"/>
  <c r="AC196" i="2"/>
  <c r="AC203" i="2" s="1"/>
  <c r="AC246" i="2"/>
  <c r="AC245" i="2"/>
  <c r="AE120" i="2"/>
  <c r="AE127" i="2"/>
  <c r="AE138" i="2"/>
  <c r="AC250" i="2"/>
  <c r="AC233" i="2"/>
  <c r="AC259" i="2"/>
  <c r="AB155" i="2"/>
  <c r="AE178" i="2" l="1"/>
  <c r="AE245" i="2" s="1"/>
  <c r="AF245" i="2" s="1"/>
  <c r="AE195" i="2"/>
  <c r="AF195" i="2" s="1"/>
  <c r="AE140" i="2"/>
  <c r="AF140" i="2" s="1"/>
  <c r="AE177" i="2"/>
  <c r="AE242" i="2" s="1"/>
  <c r="AE193" i="2"/>
  <c r="AE180" i="2"/>
  <c r="AE134" i="2"/>
  <c r="AE254" i="2"/>
  <c r="AE282" i="2" s="1"/>
  <c r="AD196" i="2"/>
  <c r="AD203" i="2" s="1"/>
  <c r="AD246" i="2"/>
  <c r="AC241" i="2"/>
  <c r="AF120" i="2"/>
  <c r="H7" i="21" s="1"/>
  <c r="AF127" i="2"/>
  <c r="AD242" i="2"/>
  <c r="AD143" i="2"/>
  <c r="AD168" i="2"/>
  <c r="AD233" i="2"/>
  <c r="AD259" i="2"/>
  <c r="AC169" i="2"/>
  <c r="AC170" i="2" s="1"/>
  <c r="AC291" i="2" s="1"/>
  <c r="AC277" i="2"/>
  <c r="AC276" i="2"/>
  <c r="AC185" i="2"/>
  <c r="AD250" i="2"/>
  <c r="AC155" i="2"/>
  <c r="AC158" i="2" s="1"/>
  <c r="AE141" i="2"/>
  <c r="AE151" i="2" s="1"/>
  <c r="AF138" i="2"/>
  <c r="AB158" i="2"/>
  <c r="AC183" i="2"/>
  <c r="AC292" i="2" l="1"/>
  <c r="AC230" i="2"/>
  <c r="AD185" i="2"/>
  <c r="AC251" i="2"/>
  <c r="AC281" i="2" s="1"/>
  <c r="AC283" i="2" s="1"/>
  <c r="AC264" i="2"/>
  <c r="AF134" i="2"/>
  <c r="E16" i="17"/>
  <c r="E17" i="17" s="1"/>
  <c r="AE233" i="2"/>
  <c r="AE259" i="2"/>
  <c r="AF254" i="2"/>
  <c r="AF282" i="2" s="1"/>
  <c r="AF242" i="2"/>
  <c r="AF180" i="2"/>
  <c r="AF222" i="2" s="1"/>
  <c r="AD155" i="2"/>
  <c r="AF193" i="2"/>
  <c r="AE196" i="2"/>
  <c r="AE203" i="2" s="1"/>
  <c r="AE246" i="2"/>
  <c r="AF246" i="2" s="1"/>
  <c r="AB230" i="2"/>
  <c r="AF177" i="2"/>
  <c r="AF153" i="2"/>
  <c r="AD183" i="2"/>
  <c r="AC188" i="2"/>
  <c r="AF145" i="2"/>
  <c r="AF146" i="2" s="1"/>
  <c r="AF141" i="2"/>
  <c r="AF151" i="2" s="1"/>
  <c r="AD241" i="2"/>
  <c r="AF224" i="2"/>
  <c r="AE143" i="2"/>
  <c r="AE168" i="2"/>
  <c r="AD169" i="2"/>
  <c r="AD170" i="2" s="1"/>
  <c r="AD291" i="2" s="1"/>
  <c r="AD292" i="2" s="1"/>
  <c r="AD277" i="2"/>
  <c r="AD276" i="2"/>
  <c r="AE250" i="2"/>
  <c r="AF250" i="2" s="1"/>
  <c r="AF178" i="2"/>
  <c r="AF221" i="2" s="1"/>
  <c r="AE185" i="2" l="1"/>
  <c r="AF185" i="2"/>
  <c r="AF196" i="2"/>
  <c r="AF203" i="2" s="1"/>
  <c r="AF223" i="2"/>
  <c r="AF241" i="2"/>
  <c r="E25" i="17"/>
  <c r="AF220" i="2"/>
  <c r="AE241" i="2"/>
  <c r="AD188" i="2"/>
  <c r="AE183" i="2"/>
  <c r="AF273" i="2"/>
  <c r="E24" i="17"/>
  <c r="AF259" i="2"/>
  <c r="AF168" i="2"/>
  <c r="AF143" i="2"/>
  <c r="E19" i="17"/>
  <c r="AE155" i="2"/>
  <c r="AF155" i="2" s="1"/>
  <c r="AB251" i="2"/>
  <c r="AB281" i="2" s="1"/>
  <c r="AB283" i="2" s="1"/>
  <c r="AB264" i="2"/>
  <c r="AB160" i="2" s="1"/>
  <c r="AB162" i="2" s="1"/>
  <c r="AD158" i="2"/>
  <c r="AE169" i="2"/>
  <c r="AE170" i="2" s="1"/>
  <c r="AE291" i="2" s="1"/>
  <c r="AE277" i="2"/>
  <c r="AF277" i="2" s="1"/>
  <c r="AE276" i="2"/>
  <c r="AF276" i="2" s="1"/>
  <c r="AF233" i="2"/>
  <c r="AE292" i="2" l="1"/>
  <c r="AD230" i="2"/>
  <c r="AD264" i="2" s="1"/>
  <c r="AC160" i="2"/>
  <c r="AB262" i="2"/>
  <c r="AB285" i="2" s="1"/>
  <c r="K27" i="19"/>
  <c r="L27" i="19" s="1"/>
  <c r="H9" i="21"/>
  <c r="H10" i="21" s="1"/>
  <c r="AF278" i="2"/>
  <c r="AF279" i="2" s="1"/>
  <c r="AF156" i="2"/>
  <c r="AF158" i="2"/>
  <c r="AB211" i="2"/>
  <c r="AC211" i="2" s="1"/>
  <c r="AF169" i="2"/>
  <c r="AF170" i="2" s="1"/>
  <c r="AF291" i="2" s="1"/>
  <c r="AF292" i="2" s="1"/>
  <c r="E22" i="17"/>
  <c r="E23" i="17" s="1"/>
  <c r="AF274" i="2"/>
  <c r="AE158" i="2"/>
  <c r="AF183" i="2"/>
  <c r="AF188" i="2" s="1"/>
  <c r="AE188" i="2"/>
  <c r="E20" i="17"/>
  <c r="AD251" i="2" l="1"/>
  <c r="AD281" i="2" s="1"/>
  <c r="AD283" i="2" s="1"/>
  <c r="AB268" i="2"/>
  <c r="AB270" i="2" s="1"/>
  <c r="AB176" i="2" s="1"/>
  <c r="AB181" i="2" s="1"/>
  <c r="AB190" i="2" s="1"/>
  <c r="K28" i="19"/>
  <c r="L28" i="19" s="1"/>
  <c r="AD160" i="2"/>
  <c r="AD262" i="2" s="1"/>
  <c r="AD285" i="2" s="1"/>
  <c r="AC262" i="2"/>
  <c r="AC162" i="2"/>
  <c r="AE230" i="2"/>
  <c r="AE264" i="2" s="1"/>
  <c r="AF264" i="2" s="1"/>
  <c r="AF160" i="2" s="1"/>
  <c r="AF162" i="2" s="1"/>
  <c r="AB209" i="2"/>
  <c r="H12" i="21"/>
  <c r="H13" i="21" s="1"/>
  <c r="AD211" i="2"/>
  <c r="E26" i="17"/>
  <c r="E27" i="17" s="1"/>
  <c r="E31" i="17" s="1"/>
  <c r="AB290" i="2" l="1"/>
  <c r="AB293" i="2" s="1"/>
  <c r="AC209" i="2"/>
  <c r="AD162" i="2"/>
  <c r="AD268" i="2"/>
  <c r="AD270" i="2" s="1"/>
  <c r="AB210" i="2"/>
  <c r="AB213" i="2" s="1"/>
  <c r="AB215" i="2" s="1"/>
  <c r="AB217" i="2" s="1"/>
  <c r="AF230" i="2"/>
  <c r="AF251" i="2" s="1"/>
  <c r="AF281" i="2" s="1"/>
  <c r="AF283" i="2" s="1"/>
  <c r="AE251" i="2"/>
  <c r="AE281" i="2" s="1"/>
  <c r="AE283" i="2" s="1"/>
  <c r="AC268" i="2"/>
  <c r="AC270" i="2" s="1"/>
  <c r="AC176" i="2" s="1"/>
  <c r="AC290" i="2" s="1"/>
  <c r="AC285" i="2"/>
  <c r="AE160" i="2"/>
  <c r="AE211" i="2"/>
  <c r="AC210" i="2"/>
  <c r="AC213" i="2" s="1"/>
  <c r="AC215" i="2" s="1"/>
  <c r="AD209" i="2"/>
  <c r="AF286" i="2" l="1"/>
  <c r="AC181" i="2"/>
  <c r="AC190" i="2" s="1"/>
  <c r="AC293" i="2"/>
  <c r="AD176" i="2"/>
  <c r="AE262" i="2"/>
  <c r="AF262" i="2" s="1"/>
  <c r="AF285" i="2" s="1"/>
  <c r="AE162" i="2"/>
  <c r="AF211" i="2"/>
  <c r="AC217" i="2"/>
  <c r="AD210" i="2"/>
  <c r="AD213" i="2" s="1"/>
  <c r="AD215" i="2" s="1"/>
  <c r="AD290" i="2" l="1"/>
  <c r="AD293" i="2" s="1"/>
  <c r="AD181" i="2"/>
  <c r="AD190" i="2" s="1"/>
  <c r="AE209" i="2"/>
  <c r="AE210" i="2" s="1"/>
  <c r="AE213" i="2" s="1"/>
  <c r="AE215" i="2" s="1"/>
  <c r="AF268" i="2"/>
  <c r="AF270" i="2" s="1"/>
  <c r="AE268" i="2"/>
  <c r="AE270" i="2" s="1"/>
  <c r="AE176" i="2" s="1"/>
  <c r="AE290" i="2" s="1"/>
  <c r="AE285" i="2"/>
  <c r="AD217" i="2"/>
  <c r="AF209" i="2"/>
  <c r="AF210" i="2" s="1"/>
  <c r="AF213" i="2" s="1"/>
  <c r="AF215" i="2" s="1"/>
  <c r="AF176" i="2" l="1"/>
  <c r="AE293" i="2"/>
  <c r="AE181" i="2"/>
  <c r="AE190" i="2" s="1"/>
  <c r="AE217" i="2" s="1"/>
  <c r="AG110" i="2"/>
  <c r="AG113" i="2" s="1"/>
  <c r="AF290" i="2" l="1"/>
  <c r="AF293" i="2" s="1"/>
  <c r="AF181" i="2"/>
  <c r="AF190" i="2" s="1"/>
  <c r="AF217" i="2" s="1"/>
  <c r="AG127" i="2"/>
  <c r="AG120" i="2"/>
  <c r="AG140" i="2" s="1"/>
  <c r="AG138" i="2"/>
  <c r="AG180" i="2" l="1"/>
  <c r="AG250" i="2" s="1"/>
  <c r="AG195" i="2"/>
  <c r="AG178" i="2"/>
  <c r="AG245" i="2" s="1"/>
  <c r="AG193" i="2"/>
  <c r="AG246" i="2" s="1"/>
  <c r="AG177" i="2"/>
  <c r="AG242" i="2" s="1"/>
  <c r="AG141" i="2"/>
  <c r="AG254" i="2"/>
  <c r="AG259" i="2" s="1"/>
  <c r="AG134" i="2"/>
  <c r="AG168" i="2" l="1"/>
  <c r="AG151" i="2"/>
  <c r="AG241" i="2"/>
  <c r="AG143" i="2"/>
  <c r="AG155" i="2" s="1"/>
  <c r="AG158" i="2" s="1"/>
  <c r="AG196" i="2"/>
  <c r="AG203" i="2" s="1"/>
  <c r="AG282" i="2"/>
  <c r="AG233" i="2"/>
  <c r="AG277" i="2" s="1"/>
  <c r="AH110" i="2"/>
  <c r="AG185" i="2" l="1"/>
  <c r="AG230" i="2"/>
  <c r="AG169" i="2"/>
  <c r="AG170" i="2" s="1"/>
  <c r="AG291" i="2" s="1"/>
  <c r="AG183" i="2"/>
  <c r="AG188" i="2" s="1"/>
  <c r="AG264" i="2"/>
  <c r="AG276" i="2"/>
  <c r="AG251" i="2"/>
  <c r="AG281" i="2" s="1"/>
  <c r="AG283" i="2" s="1"/>
  <c r="AH113" i="2"/>
  <c r="AG292" i="2" l="1"/>
  <c r="AG211" i="2"/>
  <c r="AG160" i="2"/>
  <c r="AH127" i="2"/>
  <c r="AH120" i="2"/>
  <c r="AH138" i="2"/>
  <c r="AG262" i="2" l="1"/>
  <c r="AG285" i="2" s="1"/>
  <c r="AG162" i="2"/>
  <c r="AH254" i="2"/>
  <c r="AH282" i="2" s="1"/>
  <c r="AH180" i="2"/>
  <c r="AH140" i="2"/>
  <c r="AH178" i="2"/>
  <c r="AH195" i="2"/>
  <c r="AH177" i="2"/>
  <c r="AH193" i="2"/>
  <c r="AH134" i="2"/>
  <c r="AG268" i="2" l="1"/>
  <c r="AG270" i="2" s="1"/>
  <c r="AG176" i="2" s="1"/>
  <c r="AG209" i="2"/>
  <c r="AG210" i="2" s="1"/>
  <c r="AG213" i="2" s="1"/>
  <c r="AG215" i="2" s="1"/>
  <c r="AH246" i="2"/>
  <c r="AH196" i="2"/>
  <c r="AH203" i="2" s="1"/>
  <c r="AH242" i="2"/>
  <c r="AH250" i="2"/>
  <c r="AH245" i="2"/>
  <c r="AH141" i="2"/>
  <c r="AH151" i="2" s="1"/>
  <c r="AH233" i="2"/>
  <c r="AH185" i="2" s="1"/>
  <c r="AH259" i="2"/>
  <c r="AG290" i="2" l="1"/>
  <c r="AG293" i="2" s="1"/>
  <c r="AG181" i="2"/>
  <c r="AG190" i="2" s="1"/>
  <c r="AG217" i="2" s="1"/>
  <c r="AH241" i="2"/>
  <c r="AH169" i="2"/>
  <c r="AH277" i="2"/>
  <c r="AH276" i="2"/>
  <c r="AH183" i="2"/>
  <c r="AH168" i="2"/>
  <c r="AH143" i="2"/>
  <c r="AH170" i="2" l="1"/>
  <c r="AH291" i="2" s="1"/>
  <c r="AH155" i="2"/>
  <c r="AH158" i="2" s="1"/>
  <c r="AH188" i="2"/>
  <c r="AH292" i="2" l="1"/>
  <c r="AH230" i="2"/>
  <c r="AH251" i="2" l="1"/>
  <c r="AH281" i="2" s="1"/>
  <c r="AH283" i="2" s="1"/>
  <c r="AH264" i="2"/>
  <c r="AH160" i="2" s="1"/>
  <c r="AH262" i="2" l="1"/>
  <c r="AH285" i="2" s="1"/>
  <c r="AH162" i="2"/>
  <c r="AH211" i="2"/>
  <c r="AH268" i="2"/>
  <c r="AH270" i="2" s="1"/>
  <c r="AH176" i="2" s="1"/>
  <c r="AH209" i="2"/>
  <c r="AH290" i="2" l="1"/>
  <c r="AH293" i="2" s="1"/>
  <c r="AH181" i="2"/>
  <c r="AH190" i="2" s="1"/>
  <c r="AH210" i="2"/>
  <c r="AH213" i="2" s="1"/>
  <c r="AH215" i="2" s="1"/>
  <c r="AI110" i="2"/>
  <c r="AI113" i="2" s="1"/>
  <c r="AH217" i="2" l="1"/>
  <c r="AI127" i="2"/>
  <c r="AI138" i="2"/>
  <c r="AI120" i="2"/>
  <c r="AI178" i="2" l="1"/>
  <c r="AI195" i="2"/>
  <c r="AI140" i="2"/>
  <c r="AI177" i="2"/>
  <c r="AI193" i="2"/>
  <c r="AI254" i="2"/>
  <c r="AI282" i="2" s="1"/>
  <c r="AI134" i="2"/>
  <c r="AI180" i="2"/>
  <c r="AI242" i="2" l="1"/>
  <c r="AI250" i="2"/>
  <c r="AI246" i="2"/>
  <c r="AI196" i="2"/>
  <c r="AI203" i="2" s="1"/>
  <c r="AI233" i="2"/>
  <c r="AI185" i="2" s="1"/>
  <c r="AI259" i="2"/>
  <c r="AI183" i="2"/>
  <c r="AI141" i="2"/>
  <c r="AI151" i="2" s="1"/>
  <c r="AI245" i="2"/>
  <c r="AI168" i="2" l="1"/>
  <c r="AI143" i="2"/>
  <c r="AI188" i="2"/>
  <c r="AI169" i="2"/>
  <c r="AI277" i="2"/>
  <c r="AI276" i="2"/>
  <c r="AI241" i="2"/>
  <c r="AI170" i="2" l="1"/>
  <c r="AI291" i="2" s="1"/>
  <c r="AI155" i="2"/>
  <c r="AI158" i="2" s="1"/>
  <c r="AI292" i="2" l="1"/>
  <c r="AI230" i="2"/>
  <c r="AI251" i="2" l="1"/>
  <c r="AI281" i="2" s="1"/>
  <c r="AI283" i="2" s="1"/>
  <c r="AI264" i="2"/>
  <c r="AI160" i="2" s="1"/>
  <c r="AI262" i="2" l="1"/>
  <c r="AI285" i="2" s="1"/>
  <c r="AI162" i="2"/>
  <c r="AI211" i="2"/>
  <c r="AI209" i="2" l="1"/>
  <c r="AI268" i="2"/>
  <c r="AI270" i="2" s="1"/>
  <c r="AI176" i="2" s="1"/>
  <c r="AI210" i="2"/>
  <c r="AI213" i="2" s="1"/>
  <c r="AI215" i="2" s="1"/>
  <c r="AJ110" i="2"/>
  <c r="AJ113" i="2" s="1"/>
  <c r="AI290" i="2" l="1"/>
  <c r="AI293" i="2" s="1"/>
  <c r="AI181" i="2"/>
  <c r="AI190" i="2" s="1"/>
  <c r="AI217" i="2" s="1"/>
  <c r="AJ120" i="2"/>
  <c r="AJ127" i="2"/>
  <c r="AJ138" i="2"/>
  <c r="AK110" i="2"/>
  <c r="AL110" i="2" l="1"/>
  <c r="AM110" i="2" s="1"/>
  <c r="AN110" i="2" s="1"/>
  <c r="AK124" i="2"/>
  <c r="AK113" i="2"/>
  <c r="AK138" i="2"/>
  <c r="AJ140" i="2"/>
  <c r="AK140" i="2" s="1"/>
  <c r="AJ180" i="2"/>
  <c r="AJ178" i="2"/>
  <c r="AJ195" i="2"/>
  <c r="AK195" i="2" s="1"/>
  <c r="AJ254" i="2"/>
  <c r="AJ282" i="2" s="1"/>
  <c r="AJ134" i="2"/>
  <c r="AJ177" i="2"/>
  <c r="AJ193" i="2"/>
  <c r="AJ245" i="2" l="1"/>
  <c r="AK245" i="2" s="1"/>
  <c r="AK178" i="2"/>
  <c r="AK141" i="2"/>
  <c r="AK145" i="2"/>
  <c r="AK180" i="2"/>
  <c r="AJ250" i="2"/>
  <c r="AK250" i="2" s="1"/>
  <c r="AJ141" i="2"/>
  <c r="AJ151" i="2" s="1"/>
  <c r="AK177" i="2"/>
  <c r="AJ242" i="2"/>
  <c r="AJ233" i="2"/>
  <c r="AJ185" i="2" s="1"/>
  <c r="AK185" i="2" s="1"/>
  <c r="AJ259" i="2"/>
  <c r="AK254" i="2"/>
  <c r="AK282" i="2" s="1"/>
  <c r="AK120" i="2"/>
  <c r="AK153" i="2" s="1"/>
  <c r="AL153" i="2" s="1"/>
  <c r="AK127" i="2"/>
  <c r="AK193" i="2"/>
  <c r="AJ196" i="2"/>
  <c r="AJ203" i="2" s="1"/>
  <c r="AJ246" i="2"/>
  <c r="AK246" i="2" s="1"/>
  <c r="AL113" i="2"/>
  <c r="AL145" i="2" l="1"/>
  <c r="AK146" i="2"/>
  <c r="AJ183" i="2"/>
  <c r="AJ188" i="2" s="1"/>
  <c r="AK151" i="2"/>
  <c r="AM153" i="2"/>
  <c r="AJ143" i="2"/>
  <c r="AJ168" i="2"/>
  <c r="AK183" i="2"/>
  <c r="AL120" i="2"/>
  <c r="AL127" i="2"/>
  <c r="AK259" i="2"/>
  <c r="AK273" i="2"/>
  <c r="F24" i="17"/>
  <c r="AK143" i="2"/>
  <c r="AK168" i="2"/>
  <c r="F19" i="17"/>
  <c r="AK196" i="2"/>
  <c r="AK203" i="2" s="1"/>
  <c r="AK223" i="2"/>
  <c r="AL223" i="2" s="1"/>
  <c r="AK242" i="2"/>
  <c r="AK241" i="2" s="1"/>
  <c r="AJ241" i="2"/>
  <c r="AK221" i="2"/>
  <c r="AL221" i="2" s="1"/>
  <c r="F16" i="17"/>
  <c r="F17" i="17" s="1"/>
  <c r="AK134" i="2"/>
  <c r="AM113" i="2"/>
  <c r="AK222" i="2"/>
  <c r="AL222" i="2" s="1"/>
  <c r="AM222" i="2" s="1"/>
  <c r="AN222" i="2" s="1"/>
  <c r="AK224" i="2"/>
  <c r="AL224" i="2" s="1"/>
  <c r="AM224" i="2" s="1"/>
  <c r="AN224" i="2" s="1"/>
  <c r="AJ169" i="2"/>
  <c r="AK233" i="2"/>
  <c r="AJ277" i="2"/>
  <c r="AK277" i="2" s="1"/>
  <c r="AJ276" i="2"/>
  <c r="AK276" i="2" s="1"/>
  <c r="AK220" i="2"/>
  <c r="AL220" i="2" s="1"/>
  <c r="F25" i="17"/>
  <c r="AL138" i="2" l="1"/>
  <c r="AL146" i="2"/>
  <c r="AM145" i="2"/>
  <c r="AK278" i="2"/>
  <c r="AM278" i="2" s="1"/>
  <c r="F20" i="17"/>
  <c r="AL134" i="2"/>
  <c r="AL180" i="2"/>
  <c r="AL195" i="2"/>
  <c r="G16" i="17"/>
  <c r="G17" i="17" s="1"/>
  <c r="AL254" i="2"/>
  <c r="AL282" i="2" s="1"/>
  <c r="AK188" i="2"/>
  <c r="AJ170" i="2"/>
  <c r="AJ291" i="2" s="1"/>
  <c r="AJ292" i="2" s="1"/>
  <c r="AL178" i="2"/>
  <c r="AM221" i="2"/>
  <c r="AJ155" i="2"/>
  <c r="AK155" i="2" s="1"/>
  <c r="AK156" i="2" s="1"/>
  <c r="AM120" i="2"/>
  <c r="AM254" i="2" s="1"/>
  <c r="AM127" i="2"/>
  <c r="AL193" i="2"/>
  <c r="AM223" i="2"/>
  <c r="AL177" i="2"/>
  <c r="AM220" i="2"/>
  <c r="AN153" i="2"/>
  <c r="AN113" i="2"/>
  <c r="AK169" i="2"/>
  <c r="AK170" i="2" s="1"/>
  <c r="AK291" i="2" s="1"/>
  <c r="AK292" i="2" s="1"/>
  <c r="F22" i="17"/>
  <c r="F23" i="17" s="1"/>
  <c r="AK274" i="2"/>
  <c r="AL140" i="2"/>
  <c r="AL141" i="2" s="1"/>
  <c r="AL151" i="2" s="1"/>
  <c r="AN145" i="2" l="1"/>
  <c r="AN146" i="2" s="1"/>
  <c r="AM146" i="2"/>
  <c r="AM138" i="2"/>
  <c r="AM282" i="2"/>
  <c r="AM233" i="2"/>
  <c r="AK279" i="2"/>
  <c r="AM279" i="2" s="1"/>
  <c r="AJ158" i="2"/>
  <c r="AM140" i="2"/>
  <c r="G19" i="17"/>
  <c r="AL143" i="2"/>
  <c r="AL168" i="2"/>
  <c r="G25" i="17"/>
  <c r="AL242" i="2"/>
  <c r="AL233" i="2"/>
  <c r="AL185" i="2" s="1"/>
  <c r="AL259" i="2"/>
  <c r="G24" i="17"/>
  <c r="AL245" i="2"/>
  <c r="AN221" i="2"/>
  <c r="AM178" i="2"/>
  <c r="AM245" i="2" s="1"/>
  <c r="AL250" i="2"/>
  <c r="AM259" i="2"/>
  <c r="H24" i="17"/>
  <c r="I24" i="17" s="1"/>
  <c r="AM134" i="2"/>
  <c r="AM180" i="2"/>
  <c r="AM250" i="2" s="1"/>
  <c r="AM195" i="2"/>
  <c r="H16" i="17"/>
  <c r="AN223" i="2"/>
  <c r="AM193" i="2"/>
  <c r="F26" i="17"/>
  <c r="F27" i="17" s="1"/>
  <c r="F31" i="17" s="1"/>
  <c r="AL246" i="2"/>
  <c r="AL196" i="2"/>
  <c r="AL203" i="2" s="1"/>
  <c r="AM276" i="2"/>
  <c r="AN120" i="2"/>
  <c r="AN127" i="2"/>
  <c r="AN138" i="2"/>
  <c r="AM177" i="2"/>
  <c r="AM242" i="2" s="1"/>
  <c r="AN220" i="2"/>
  <c r="AK158" i="2"/>
  <c r="AM141" i="2" l="1"/>
  <c r="AM151" i="2" s="1"/>
  <c r="AJ230" i="2"/>
  <c r="AJ264" i="2" s="1"/>
  <c r="AJ160" i="2" s="1"/>
  <c r="AJ262" i="2" s="1"/>
  <c r="AJ285" i="2" s="1"/>
  <c r="AM246" i="2"/>
  <c r="AM241" i="2"/>
  <c r="H17" i="17"/>
  <c r="I16" i="17"/>
  <c r="AL183" i="2"/>
  <c r="AM183" i="2" s="1"/>
  <c r="H19" i="17"/>
  <c r="AM143" i="2"/>
  <c r="AM155" i="2" s="1"/>
  <c r="AM158" i="2" s="1"/>
  <c r="AM168" i="2"/>
  <c r="AN195" i="2"/>
  <c r="AN254" i="2"/>
  <c r="AN282" i="2" s="1"/>
  <c r="AN134" i="2"/>
  <c r="AN180" i="2"/>
  <c r="AN250" i="2" s="1"/>
  <c r="AM196" i="2"/>
  <c r="AM203" i="2" s="1"/>
  <c r="AN140" i="2"/>
  <c r="AN141" i="2" s="1"/>
  <c r="AN151" i="2" s="1"/>
  <c r="AL241" i="2"/>
  <c r="AM185" i="2"/>
  <c r="H25" i="17"/>
  <c r="AM169" i="2"/>
  <c r="H22" i="17"/>
  <c r="AN178" i="2"/>
  <c r="AN245" i="2" s="1"/>
  <c r="AM277" i="2"/>
  <c r="AL276" i="2"/>
  <c r="AL169" i="2"/>
  <c r="AL170" i="2" s="1"/>
  <c r="AL291" i="2" s="1"/>
  <c r="AL292" i="2" s="1"/>
  <c r="G22" i="17"/>
  <c r="G23" i="17" s="1"/>
  <c r="AL277" i="2"/>
  <c r="AL155" i="2"/>
  <c r="AL158" i="2" s="1"/>
  <c r="AN193" i="2"/>
  <c r="AN177" i="2"/>
  <c r="AN242" i="2" s="1"/>
  <c r="AK230" i="2"/>
  <c r="AK251" i="2" s="1"/>
  <c r="AK281" i="2" s="1"/>
  <c r="AK283" i="2" s="1"/>
  <c r="G20" i="17"/>
  <c r="AJ251" i="2" l="1"/>
  <c r="AJ281" i="2" s="1"/>
  <c r="AJ283" i="2" s="1"/>
  <c r="AJ162" i="2"/>
  <c r="AM230" i="2"/>
  <c r="AM251" i="2" s="1"/>
  <c r="AM281" i="2" s="1"/>
  <c r="AM283" i="2" s="1"/>
  <c r="AL230" i="2"/>
  <c r="AL251" i="2" s="1"/>
  <c r="AL281" i="2" s="1"/>
  <c r="AL283" i="2" s="1"/>
  <c r="H20" i="17"/>
  <c r="I19" i="17"/>
  <c r="I25" i="17"/>
  <c r="H23" i="17"/>
  <c r="I23" i="17" s="1"/>
  <c r="I22" i="17"/>
  <c r="AL188" i="2"/>
  <c r="AM170" i="2"/>
  <c r="AM291" i="2" s="1"/>
  <c r="AM292" i="2" s="1"/>
  <c r="AM188" i="2"/>
  <c r="AN233" i="2"/>
  <c r="AN185" i="2" s="1"/>
  <c r="AN259" i="2"/>
  <c r="AK262" i="2"/>
  <c r="AK285" i="2" s="1"/>
  <c r="AJ268" i="2"/>
  <c r="AJ209" i="2"/>
  <c r="AN246" i="2"/>
  <c r="AN241" i="2" s="1"/>
  <c r="AN196" i="2"/>
  <c r="AN203" i="2" s="1"/>
  <c r="G26" i="17"/>
  <c r="G27" i="17" s="1"/>
  <c r="G31" i="17" s="1"/>
  <c r="AJ211" i="2"/>
  <c r="AK211" i="2" s="1"/>
  <c r="AK264" i="2"/>
  <c r="AN143" i="2"/>
  <c r="AN168" i="2"/>
  <c r="AJ270" i="2" l="1"/>
  <c r="AJ176" i="2" s="1"/>
  <c r="AK176" i="2" s="1"/>
  <c r="AM264" i="2"/>
  <c r="AL264" i="2"/>
  <c r="AL211" i="2" s="1"/>
  <c r="AM211" i="2" s="1"/>
  <c r="AK286" i="2"/>
  <c r="AK160" i="2"/>
  <c r="AK162" i="2" s="1"/>
  <c r="D57" i="17"/>
  <c r="H26" i="17"/>
  <c r="H27" i="17" s="1"/>
  <c r="H31" i="17" s="1"/>
  <c r="AK268" i="2"/>
  <c r="AK270" i="2" s="1"/>
  <c r="AN183" i="2"/>
  <c r="AN188" i="2" s="1"/>
  <c r="AJ210" i="2"/>
  <c r="AJ213" i="2" s="1"/>
  <c r="AJ215" i="2" s="1"/>
  <c r="AK209" i="2"/>
  <c r="AN155" i="2"/>
  <c r="AN158" i="2" s="1"/>
  <c r="AN277" i="2"/>
  <c r="AN276" i="2"/>
  <c r="AN169" i="2"/>
  <c r="AN170" i="2" s="1"/>
  <c r="AN291" i="2" s="1"/>
  <c r="AN292" i="2" s="1"/>
  <c r="AK290" i="2" l="1"/>
  <c r="AK293" i="2" s="1"/>
  <c r="AJ181" i="2"/>
  <c r="AJ190" i="2" s="1"/>
  <c r="AJ217" i="2" s="1"/>
  <c r="AJ290" i="2"/>
  <c r="AJ293" i="2" s="1"/>
  <c r="AN230" i="2"/>
  <c r="AN264" i="2" s="1"/>
  <c r="AN211" i="2" s="1"/>
  <c r="AL160" i="2"/>
  <c r="AN251" i="2"/>
  <c r="AK210" i="2"/>
  <c r="AK213" i="2" s="1"/>
  <c r="AK215" i="2" s="1"/>
  <c r="I20" i="17"/>
  <c r="AK181" i="2"/>
  <c r="AK190" i="2" s="1"/>
  <c r="AL262" i="2" l="1"/>
  <c r="AL209" i="2" s="1"/>
  <c r="AL210" i="2" s="1"/>
  <c r="AL213" i="2" s="1"/>
  <c r="AL215" i="2" s="1"/>
  <c r="AL162" i="2"/>
  <c r="AM160" i="2"/>
  <c r="AM162" i="2" s="1"/>
  <c r="AN281" i="2"/>
  <c r="AN283" i="2" s="1"/>
  <c r="I26" i="17"/>
  <c r="I27" i="17" s="1"/>
  <c r="AK217" i="2"/>
  <c r="AL268" i="2" l="1"/>
  <c r="AL270" i="2" s="1"/>
  <c r="AL176" i="2" s="1"/>
  <c r="AL290" i="2" s="1"/>
  <c r="AL285" i="2"/>
  <c r="AM262" i="2"/>
  <c r="AM209" i="2" s="1"/>
  <c r="AM210" i="2" s="1"/>
  <c r="AM213" i="2" s="1"/>
  <c r="AM215" i="2" s="1"/>
  <c r="AN160" i="2"/>
  <c r="AN162" i="2" s="1"/>
  <c r="D39" i="17"/>
  <c r="D40" i="17" s="1"/>
  <c r="D43" i="17" s="1"/>
  <c r="D42" i="17"/>
  <c r="AL181" i="2" l="1"/>
  <c r="AL190" i="2" s="1"/>
  <c r="AL217" i="2" s="1"/>
  <c r="AL293" i="2"/>
  <c r="AM268" i="2"/>
  <c r="AM270" i="2" s="1"/>
  <c r="AM176" i="2" s="1"/>
  <c r="AM290" i="2" s="1"/>
  <c r="AM285" i="2"/>
  <c r="AN262" i="2"/>
  <c r="AN285" i="2" s="1"/>
  <c r="D56" i="17"/>
  <c r="D58" i="17" s="1"/>
  <c r="D44" i="17"/>
  <c r="D47" i="17" s="1"/>
  <c r="D50" i="17" s="1"/>
  <c r="AM181" i="2" l="1"/>
  <c r="AM190" i="2" s="1"/>
  <c r="AM217" i="2" s="1"/>
  <c r="AM293" i="2"/>
  <c r="AN268" i="2"/>
  <c r="AN270" i="2" s="1"/>
  <c r="AN176" i="2" s="1"/>
  <c r="AN290" i="2" s="1"/>
  <c r="AN209" i="2"/>
  <c r="AN210" i="2" s="1"/>
  <c r="AN213" i="2" s="1"/>
  <c r="AN215" i="2" s="1"/>
  <c r="C93" i="17"/>
  <c r="C69" i="17"/>
  <c r="D53" i="17"/>
  <c r="AN181" i="2" l="1"/>
  <c r="AN190" i="2" s="1"/>
  <c r="AN293" i="2"/>
  <c r="AN21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Schmitt, Eric</author>
    <author>eric schmitt</author>
  </authors>
  <commentList>
    <comment ref="W50" authorId="0" shapeId="0" xr:uid="{E93B279F-5030-46AD-8243-BABCB575106D}">
      <text>
        <r>
          <rPr>
            <b/>
            <sz val="9"/>
            <color indexed="81"/>
            <rFont val="Tahoma"/>
            <family val="2"/>
          </rPr>
          <t>Schmitt, Eric: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90" authorId="1" shapeId="0" xr:uid="{CB7C407E-D874-43A4-B669-329EF5634CE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~90% of 2019 levels</t>
        </r>
      </text>
    </comment>
    <comment ref="Y90" authorId="1" shapeId="0" xr:uid="{14F7E4A0-9F7D-4404-8105-BA4E7AF3895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~90% of 2019 levels</t>
        </r>
      </text>
    </comment>
    <comment ref="Z90" authorId="1" shapeId="0" xr:uid="{B91CD95B-702F-414F-99BE-6D3198FD8A0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~90% of 2019 levels</t>
        </r>
      </text>
    </comment>
    <comment ref="AB90" authorId="1" shapeId="0" xr:uid="{26425738-AB62-4918-93EE-86775DAFF70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~95% of 2019 levels</t>
        </r>
      </text>
    </comment>
    <comment ref="AC90" authorId="1" shapeId="0" xr:uid="{46F7F3BB-055F-4B53-95D0-27B1B53DFC5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~95% of 2019 levels</t>
        </r>
      </text>
    </comment>
    <comment ref="AD90" authorId="1" shapeId="0" xr:uid="{45AB2380-3431-4858-9B65-08DF490B459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~95% of 2019 levels</t>
        </r>
      </text>
    </comment>
    <comment ref="AE90" authorId="1" shapeId="0" xr:uid="{A72ABE5C-8B06-4E4C-91C4-C81E706942E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~95% of 2019 levels</t>
        </r>
      </text>
    </comment>
    <comment ref="AG90" authorId="1" shapeId="0" xr:uid="{8E123C64-67C6-40DA-ACD3-9466B143954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105% of 2019 levels</t>
        </r>
      </text>
    </comment>
    <comment ref="W109" authorId="1" shapeId="0" xr:uid="{449ADCB4-89E6-4C4C-A93C-3D8E3ECB219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plugged ~$3mm spread across segments based on 1/30 earnings MD&amp;A</t>
        </r>
      </text>
    </comment>
    <comment ref="W110" authorId="1" shapeId="0" xr:uid="{472A3237-7506-4369-BBDE-95475990726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plugged ~$3mm spread across segments based on 1/30 earnings MD&amp;A</t>
        </r>
      </text>
    </comment>
    <comment ref="W111" authorId="1" shapeId="0" xr:uid="{7BED9044-C0E9-4BBA-AB20-D0A5B93BB38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plugged ~$3mm spread across segments based on 1/30 earnings MD&amp;A</t>
        </r>
      </text>
    </comment>
    <comment ref="W112" authorId="1" shapeId="0" xr:uid="{2AD5CE38-5594-440B-BD77-0E4C7F1BB2C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plugged ~$3mm spread across segments based on 1/30 earnings MD&amp;A</t>
        </r>
      </text>
    </comment>
    <comment ref="W115" authorId="1" shapeId="0" xr:uid="{1B8E15EE-A69C-4A15-A198-2B879D0C86F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assumed based on prior period mix and actual results</t>
        </r>
      </text>
    </comment>
    <comment ref="W116" authorId="1" shapeId="0" xr:uid="{A64C3D19-0286-4D5C-AD60-CEE739966C1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assumed based on prior period mix and actual results</t>
        </r>
      </text>
    </comment>
    <comment ref="K117" authorId="0" shapeId="0" xr:uid="{18E0F90B-8589-46A6-823C-4E6F030B6085}">
      <text>
        <r>
          <rPr>
            <b/>
            <sz val="9"/>
            <color indexed="81"/>
            <rFont val="Tahoma"/>
            <charset val="1"/>
          </rPr>
          <t>Schmitt, Eric:</t>
        </r>
        <r>
          <rPr>
            <sz val="9"/>
            <color indexed="81"/>
            <rFont val="Tahoma"/>
            <charset val="1"/>
          </rPr>
          <t xml:space="preserve">
Renewables power systems businesses divested Q3 2020</t>
        </r>
      </text>
    </comment>
    <comment ref="X156" authorId="1" shapeId="0" xr:uid="{A39D046F-E039-4D2A-B4C8-D4729531204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per company guidance</t>
        </r>
      </text>
    </comment>
    <comment ref="X164" authorId="1" shapeId="0" xr:uid="{402DE8FA-9D65-4847-98D9-EBFC9477F39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announced increase to $0.22 on January 30th, 2023</t>
        </r>
      </text>
    </comment>
    <comment ref="AB164" authorId="1" shapeId="0" xr:uid="{C571A4CD-F988-46DC-A75C-29DFC3FF87A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15% increase on dividend</t>
        </r>
      </text>
    </comment>
    <comment ref="AC164" authorId="1" shapeId="0" xr:uid="{03D4F6FA-A956-4AB4-B126-331D77833FA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15% increase on dividend</t>
        </r>
      </text>
    </comment>
    <comment ref="AD164" authorId="1" shapeId="0" xr:uid="{7E88334E-255A-4806-AF95-294CA0C7427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15% increase on dividend</t>
        </r>
      </text>
    </comment>
    <comment ref="AE164" authorId="1" shapeId="0" xr:uid="{0638C439-5987-4684-8115-9EA75C7A28E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15% increase on dividend</t>
        </r>
      </text>
    </comment>
    <comment ref="AF164" authorId="1" shapeId="0" xr:uid="{CF36B349-C743-4723-89DA-B3494EAFC74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15% increase on dividend</t>
        </r>
      </text>
    </comment>
    <comment ref="AG164" authorId="1" shapeId="0" xr:uid="{ACDFF510-C225-46BA-B35B-9F7F521843A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15% increase on dividend</t>
        </r>
      </text>
    </comment>
    <comment ref="AH164" authorId="1" shapeId="0" xr:uid="{1774BFB9-2F24-42D3-83B6-112D1497538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15% increase on dividend</t>
        </r>
      </text>
    </comment>
    <comment ref="AI164" authorId="1" shapeId="0" xr:uid="{CC347739-038C-4382-B14C-CFFECDF97E5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15% increase on dividend</t>
        </r>
      </text>
    </comment>
    <comment ref="AJ164" authorId="1" shapeId="0" xr:uid="{834F11A1-3AA3-4DDA-A80D-908188F2D9D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15% increase on dividend</t>
        </r>
      </text>
    </comment>
    <comment ref="AK164" authorId="1" shapeId="0" xr:uid="{9DA57834-1604-437F-9111-B507528D8B2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15% increase on dividend</t>
        </r>
      </text>
    </comment>
    <comment ref="AL164" authorId="1" shapeId="0" xr:uid="{9173FF9E-2209-44A5-90B4-1DAF1A05250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15% increase on dividend</t>
        </r>
      </text>
    </comment>
    <comment ref="AM164" authorId="1" shapeId="0" xr:uid="{B9820634-EECE-44C1-8D83-FA07FAEAC56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15% increase on dividend</t>
        </r>
      </text>
    </comment>
    <comment ref="AN164" authorId="1" shapeId="0" xr:uid="{9A9B041D-9BED-4915-8196-9D153C19F99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assuming 15% increase on dividend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7" authorId="0" shapeId="0" xr:uid="{50A07BF9-741D-4DBA-A63A-3D37777EFCB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FC16AE48-6411-4095-AB45-D8285C025FB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https://www.bamsec.com/filing/95017023001777/1?cik=108312&amp;hl=2947:2957&amp;hl_id=4jocnhoh6</t>
        </r>
      </text>
    </comment>
    <comment ref="D12" authorId="0" shapeId="0" xr:uid="{787259BC-82DF-41A2-894D-A75AD0FF24F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https://www.bamsec.com/filing/95017023001777/1?cik=108312&amp;hl=131416:131421&amp;hl_id=ejdkpr_h6</t>
        </r>
      </text>
    </comment>
    <comment ref="E12" authorId="0" shapeId="0" xr:uid="{E63DBE77-D4C2-4E68-B7D7-D1BCAF056D5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https://www.bamsec.com/filing/95017023001777/1?cik=108312&amp;hl=131460:131465&amp;hl_id=nkrsab_2t</t>
        </r>
      </text>
    </comment>
    <comment ref="D13" authorId="0" shapeId="0" xr:uid="{69053B55-C5B0-4640-85C9-6BAD75D8439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https://www.bamsec.com/filing/95017023001777/1?cik=108312&amp;hl=484:501&amp;hl_id=ej5jrsu2a</t>
        </r>
      </text>
    </comment>
    <comment ref="L17" authorId="0" shapeId="0" xr:uid="{5A57238D-937D-48F5-A2CA-988843B6BE0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https://www.bamsec.com/filing/95017023001777/1?cik=108312&amp;hl=11921:11928&amp;hl_id=nkxvy8u2a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G12" authorId="0" shapeId="0" xr:uid="{708D0BF5-098F-4B61-8F81-3F6CF346606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20 yr treasury as of 2/3/23
https://home.treasury.gov/resource-center/data-chart-center/interest-rates/TextView?type=daily_treasury_yield_curve&amp;field_tdr_date_value=20</t>
        </r>
      </text>
    </comment>
    <comment ref="G18" authorId="0" shapeId="0" xr:uid="{816B684B-628A-4081-AC7A-0EB7ECF1877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Corp tax rate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F3" authorId="0" shapeId="0" xr:uid="{42AD4396-69E4-439E-A069-0B1D2713430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10" authorId="0" shapeId="0" xr:uid="{8335FD89-2E84-48BB-A8DD-EF5F9EC8418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13" authorId="0" shapeId="0" xr:uid="{8D5A892C-0DB9-4747-9476-DCDED19B7E1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14" authorId="0" shapeId="0" xr:uid="{CD5488FD-22E1-431A-B248-5DD1D147D6C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15" authorId="0" shapeId="0" xr:uid="{2817B2E1-1988-4ADF-92CE-CD84EAFB405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16" authorId="0" shapeId="0" xr:uid="{FE1114EB-CB9D-4B96-894C-745BCA7CE47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17" authorId="0" shapeId="0" xr:uid="{0B402EC5-8FB9-4989-AEB8-245B3DA0555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27" authorId="0" shapeId="0" xr:uid="{C74C8410-A5B4-4D22-87F3-686F3FBE540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28" authorId="0" shapeId="0" xr:uid="{D00B1F23-4189-4F1A-8B42-771CE1654DC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29" authorId="0" shapeId="0" xr:uid="{1BDB0A1C-CCAB-4448-A11E-AFAB511EF6E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30" authorId="0" shapeId="0" xr:uid="{2368B755-C943-4326-BCF6-9C488807471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</commentList>
</comments>
</file>

<file path=xl/sharedStrings.xml><?xml version="1.0" encoding="utf-8"?>
<sst xmlns="http://schemas.openxmlformats.org/spreadsheetml/2006/main" count="1027" uniqueCount="607">
  <si>
    <t>Woodward, Inc.</t>
  </si>
  <si>
    <t>Interest Expense</t>
  </si>
  <si>
    <t>Income Taxes</t>
  </si>
  <si>
    <t>Net Income</t>
  </si>
  <si>
    <t>EBITDA</t>
  </si>
  <si>
    <t>Woodward, Inc. (WWD)</t>
  </si>
  <si>
    <t>A220</t>
  </si>
  <si>
    <t>A330</t>
  </si>
  <si>
    <t>A350</t>
  </si>
  <si>
    <t>A380</t>
  </si>
  <si>
    <t>737 MAX</t>
  </si>
  <si>
    <t>767-300F</t>
  </si>
  <si>
    <t>777X</t>
  </si>
  <si>
    <t>Boeing</t>
  </si>
  <si>
    <t>737NG</t>
  </si>
  <si>
    <t>737MAX</t>
  </si>
  <si>
    <t>767</t>
  </si>
  <si>
    <t>747-8</t>
  </si>
  <si>
    <t>777</t>
  </si>
  <si>
    <t>787</t>
  </si>
  <si>
    <t>Total Boeing</t>
  </si>
  <si>
    <t>Assets</t>
  </si>
  <si>
    <t>Inventories</t>
  </si>
  <si>
    <t>Goodwill</t>
  </si>
  <si>
    <t>Total Assets</t>
  </si>
  <si>
    <t>Free Cash Flow</t>
  </si>
  <si>
    <t>Sum of Delivery Total</t>
  </si>
  <si>
    <t>Column Labels</t>
  </si>
  <si>
    <t>2018 Total</t>
  </si>
  <si>
    <t>2019 Total</t>
  </si>
  <si>
    <t>2020 Total</t>
  </si>
  <si>
    <t>2021 Total</t>
  </si>
  <si>
    <t>2022 Total</t>
  </si>
  <si>
    <t>Grand Total</t>
  </si>
  <si>
    <t>Row Labels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</si>
  <si>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</si>
  <si>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</si>
  <si>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</si>
  <si>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</si>
  <si>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</si>
  <si>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</si>
  <si>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</si>
  <si>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</si>
  <si>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</si>
  <si>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</si>
  <si>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</si>
  <si>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</si>
  <si>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737-700</t>
  </si>
  <si>
    <t>737-700C</t>
  </si>
  <si>
    <t>737-800</t>
  </si>
  <si>
    <t>737-800A</t>
  </si>
  <si>
    <t>737-900ER</t>
  </si>
  <si>
    <t>747-8F</t>
  </si>
  <si>
    <t>767-2C</t>
  </si>
  <si>
    <t>767-300ER</t>
  </si>
  <si>
    <t>777-200ER</t>
  </si>
  <si>
    <t>777-200LR</t>
  </si>
  <si>
    <t>777-300ER</t>
  </si>
  <si>
    <t>777F</t>
  </si>
  <si>
    <t>787-10</t>
  </si>
  <si>
    <t>787-8</t>
  </si>
  <si>
    <t>787-9</t>
  </si>
  <si>
    <t>BBJ</t>
  </si>
  <si>
    <t>BBJ2</t>
  </si>
  <si>
    <t>BBJ3</t>
  </si>
  <si>
    <t>Total</t>
  </si>
  <si>
    <t>Total WWD</t>
  </si>
  <si>
    <t>Recon</t>
  </si>
  <si>
    <t>Check</t>
  </si>
  <si>
    <t>Quarterly</t>
  </si>
  <si>
    <t>January</t>
  </si>
  <si>
    <t>February</t>
  </si>
  <si>
    <t>March</t>
  </si>
  <si>
    <t>April</t>
  </si>
  <si>
    <t>June</t>
  </si>
  <si>
    <t>July</t>
  </si>
  <si>
    <t>August</t>
  </si>
  <si>
    <t>September</t>
  </si>
  <si>
    <t>October</t>
  </si>
  <si>
    <t>November</t>
  </si>
  <si>
    <t>December</t>
  </si>
  <si>
    <t>Airbus</t>
  </si>
  <si>
    <t>A220-100</t>
  </si>
  <si>
    <t>A220-300</t>
  </si>
  <si>
    <t>A319neo</t>
  </si>
  <si>
    <t>A320neo</t>
  </si>
  <si>
    <t>A321neo</t>
  </si>
  <si>
    <t>A330-200</t>
  </si>
  <si>
    <t>A330-300</t>
  </si>
  <si>
    <t>A330-800</t>
  </si>
  <si>
    <t>A330-900</t>
  </si>
  <si>
    <t>A350-900</t>
  </si>
  <si>
    <t>A350-1000</t>
  </si>
  <si>
    <t>A330neo</t>
  </si>
  <si>
    <t>Total Airbus</t>
  </si>
  <si>
    <t>Business Jets</t>
  </si>
  <si>
    <t>Global Express</t>
  </si>
  <si>
    <t>Global 7500</t>
  </si>
  <si>
    <t>G650</t>
  </si>
  <si>
    <t>G500/G600</t>
  </si>
  <si>
    <t>G700/G800</t>
  </si>
  <si>
    <t>HondaJet</t>
  </si>
  <si>
    <t>F-15</t>
  </si>
  <si>
    <t>F-16</t>
  </si>
  <si>
    <t>F/A-18</t>
  </si>
  <si>
    <t>Black Hawk</t>
  </si>
  <si>
    <t>Apache</t>
  </si>
  <si>
    <t>F-35</t>
  </si>
  <si>
    <t>KC-46 Tanker</t>
  </si>
  <si>
    <t>V-22</t>
  </si>
  <si>
    <t>T-7A</t>
  </si>
  <si>
    <t>Total Business Jets</t>
  </si>
  <si>
    <t>Total Commercial OEM</t>
  </si>
  <si>
    <t>Embraer</t>
  </si>
  <si>
    <t>Ejet</t>
  </si>
  <si>
    <t>Ejets E2</t>
  </si>
  <si>
    <t>Total Embraer</t>
  </si>
  <si>
    <t>2021 Annual Deliveries Summary</t>
  </si>
  <si>
    <t>A320Family</t>
  </si>
  <si>
    <t>A340</t>
  </si>
  <si>
    <t>2020 Annual Deliveries Summary</t>
  </si>
  <si>
    <t>2019 Annual Deliveries Summary</t>
  </si>
  <si>
    <t>2018 Annual Deliveries Summary</t>
  </si>
  <si>
    <t>2017 Annual Deliveries Summary</t>
  </si>
  <si>
    <t>2016 Annual Deliveries Summary</t>
  </si>
  <si>
    <t>2015 Annual Deliveries Summary</t>
  </si>
  <si>
    <t>2014 Annual Deliveries Summary</t>
  </si>
  <si>
    <t>2013 Annual Deliveries Summary</t>
  </si>
  <si>
    <t>2012 Annual Deliveries Summary</t>
  </si>
  <si>
    <t>2011 Annual Deliveries Summary</t>
  </si>
  <si>
    <t>2010 Annual Deliveries Summary</t>
  </si>
  <si>
    <t>2009 Annual Deliveries Summary</t>
  </si>
  <si>
    <t>2008 Annual Deliveries Summary</t>
  </si>
  <si>
    <t>2007 Annual Deliveries Summary</t>
  </si>
  <si>
    <t>A310/A300-600</t>
  </si>
  <si>
    <t>2006 Annual Deliveries Summary</t>
  </si>
  <si>
    <t>Sales by Segment</t>
  </si>
  <si>
    <t>Commercial OEM</t>
  </si>
  <si>
    <t>Commercial Aftermarket</t>
  </si>
  <si>
    <t>Defense OEM</t>
  </si>
  <si>
    <t>Defense Aftermarket</t>
  </si>
  <si>
    <t>Reciprocating Engines</t>
  </si>
  <si>
    <t>Industrial Turbines</t>
  </si>
  <si>
    <t>Renewables</t>
  </si>
  <si>
    <t>Total Industrial</t>
  </si>
  <si>
    <t>Total Aerospace</t>
  </si>
  <si>
    <t>Aerospace</t>
  </si>
  <si>
    <t>Total Sales</t>
  </si>
  <si>
    <t>Tax Rate</t>
  </si>
  <si>
    <t>Basic Shares</t>
  </si>
  <si>
    <t>Operating Cash Flow</t>
  </si>
  <si>
    <t>Capex</t>
  </si>
  <si>
    <t>Proceeds from sale of assets</t>
  </si>
  <si>
    <t>Accounts Receivable</t>
  </si>
  <si>
    <t>Other liabilities</t>
  </si>
  <si>
    <t>Net Debt</t>
  </si>
  <si>
    <t>Capex as % of Sales</t>
  </si>
  <si>
    <t>Actual</t>
  </si>
  <si>
    <t>Contract</t>
  </si>
  <si>
    <t>4Q22</t>
  </si>
  <si>
    <t>4Q21</t>
  </si>
  <si>
    <t>Industrial</t>
  </si>
  <si>
    <t>Corporate Expenses</t>
  </si>
  <si>
    <t>Aerospace Operating Margin</t>
  </si>
  <si>
    <t>Industrial Operating Margin</t>
  </si>
  <si>
    <t>Income Tax</t>
  </si>
  <si>
    <t>DSO</t>
  </si>
  <si>
    <t>DIO</t>
  </si>
  <si>
    <t>DPO</t>
  </si>
  <si>
    <t>Corp Exp % of Revenue</t>
  </si>
  <si>
    <t>D&amp;A % of CapEx</t>
  </si>
  <si>
    <t>Cash and cash equivalents</t>
  </si>
  <si>
    <t xml:space="preserve">Accounts receivable, net
</t>
  </si>
  <si>
    <t xml:space="preserve">Inventories, net
</t>
  </si>
  <si>
    <t xml:space="preserve">Income taxes receivable
</t>
  </si>
  <si>
    <t>Other current assets</t>
  </si>
  <si>
    <t>Total current assets</t>
  </si>
  <si>
    <t>Property, plant and equipment
​</t>
  </si>
  <si>
    <t>Goodwill and other intangible assets, net</t>
  </si>
  <si>
    <t xml:space="preserve">Intangible assets
</t>
  </si>
  <si>
    <t xml:space="preserve">Investments in affiliated companies
</t>
  </si>
  <si>
    <t>Other assets</t>
  </si>
  <si>
    <t>Total Long-Term Assets</t>
  </si>
  <si>
    <t>Short-term borrowings &amp; Current Portion of Long-Term Debt</t>
  </si>
  <si>
    <t>Accounts payable</t>
  </si>
  <si>
    <t>Income taxes payable</t>
  </si>
  <si>
    <t>Accrued liabilities</t>
  </si>
  <si>
    <t>Total current liabilities</t>
  </si>
  <si>
    <t>Long-term debt</t>
  </si>
  <si>
    <t>Deferred income taxes</t>
  </si>
  <si>
    <t>Total Long-Term Liabilities</t>
  </si>
  <si>
    <t>Total liabilities</t>
  </si>
  <si>
    <t xml:space="preserve">Common stock </t>
  </si>
  <si>
    <t>Additional paid-in capital</t>
  </si>
  <si>
    <t xml:space="preserve">Accumulated other comprehensive loss
</t>
  </si>
  <si>
    <t>Deferred Compensation</t>
  </si>
  <si>
    <t>Retained earnings</t>
  </si>
  <si>
    <t>Total stockholders' equity including treasury stock value</t>
  </si>
  <si>
    <t>Less - Treasury stock
​</t>
  </si>
  <si>
    <t xml:space="preserve">Less - Treasury stock held for Deferred Comp.
</t>
  </si>
  <si>
    <t>Total stockholders' equity
​</t>
  </si>
  <si>
    <t>Total liabilities and stockholders' equity
​</t>
  </si>
  <si>
    <t>Balance Sheet</t>
  </si>
  <si>
    <t>Cash flows from operating activities</t>
  </si>
  <si>
    <t xml:space="preserve">Net (loss) income
</t>
  </si>
  <si>
    <t>Reconciliation to net cash provided by operating activities:</t>
  </si>
  <si>
    <t>Depreciation and amortization</t>
  </si>
  <si>
    <t>Impairment of Assets Sold</t>
  </si>
  <si>
    <t>Net (Gain)/Loss on Sale of Assets</t>
  </si>
  <si>
    <t>Net (Gain)/Loss on Swaps</t>
  </si>
  <si>
    <t>Stock-based compensation</t>
  </si>
  <si>
    <t>Other Non-Cash Items</t>
  </si>
  <si>
    <t>Changes in assets and liabilities:</t>
  </si>
  <si>
    <t>Contract Assets</t>
  </si>
  <si>
    <t>Costs to Fulfill a contract</t>
  </si>
  <si>
    <t>Inventory</t>
  </si>
  <si>
    <t>Accounts payable/accrued liabilities</t>
  </si>
  <si>
    <t>Contract Liabilities</t>
  </si>
  <si>
    <t>Retirement Benefit Obligations</t>
  </si>
  <si>
    <t xml:space="preserve">Other-net
</t>
  </si>
  <si>
    <t>Net cash provided by operating activities
​</t>
  </si>
  <si>
    <t>Cash flows from investing activities</t>
  </si>
  <si>
    <t>Capital expenditures</t>
  </si>
  <si>
    <t>Divestitures (Acquisitions)</t>
  </si>
  <si>
    <t>Proceeds from sale of s/t investments</t>
  </si>
  <si>
    <t>Payments for purchases of s/t investments</t>
  </si>
  <si>
    <t>Net cash used for investing activities</t>
  </si>
  <si>
    <t>Cash flows from financing activities</t>
  </si>
  <si>
    <t xml:space="preserve">Cash dividends
</t>
  </si>
  <si>
    <t>Proceeds from Sales of Treasury Stock</t>
  </si>
  <si>
    <t xml:space="preserve">Repurchases of Common Stock
</t>
  </si>
  <si>
    <t xml:space="preserve">Change in debt
</t>
  </si>
  <si>
    <t>Payments for Debt Financing and Costs</t>
  </si>
  <si>
    <t>Other</t>
  </si>
  <si>
    <t xml:space="preserve">Net cash used for financing activities
</t>
  </si>
  <si>
    <t xml:space="preserve">Effect of exchange rate changes on cash and cash equivalents
</t>
  </si>
  <si>
    <t xml:space="preserve">Net increase in cash and cash equivalents
</t>
  </si>
  <si>
    <t>Statement of Cash Flows</t>
  </si>
  <si>
    <t>Source</t>
  </si>
  <si>
    <t>Total liabilities and stockholders' equity</t>
  </si>
  <si>
    <t>Total stockholders' equity</t>
  </si>
  <si>
    <t>Treasury stock held for deferred compensation, at cost, 122 shares and 139 shares, respectively</t>
  </si>
  <si>
    <t>Treasury stock at cost, 13,460 shares and 13,207 shares, respectively</t>
  </si>
  <si>
    <t>Deferred compensation</t>
  </si>
  <si>
    <t>Accumulated other comprehensive losses</t>
  </si>
  <si>
    <t>Common stock, par value $0.001455 per share, 150,000 shares authorized, 72,960 shares issued</t>
  </si>
  <si>
    <t>Preferred stock, par value $0.003 per share, 10,000 shares authorized, no shares issued</t>
  </si>
  <si>
    <t>Stockholders' equity:</t>
  </si>
  <si>
    <t>Commitments and contingencies (Note 22)</t>
  </si>
  <si>
    <t>Deferred income tax liabilities</t>
  </si>
  <si>
    <t>Long-term debt, less current portion</t>
  </si>
  <si>
    <t>Current portion of long-term debt</t>
  </si>
  <si>
    <t>Short-term debt</t>
  </si>
  <si>
    <t>Current liabilities:</t>
  </si>
  <si>
    <t>LIABILITIES AND STOCKHOLDERS' EQUITY</t>
  </si>
  <si>
    <t>Total assets</t>
  </si>
  <si>
    <t>Deferred income tax assets</t>
  </si>
  <si>
    <t>Intangible assets, net</t>
  </si>
  <si>
    <t>Property, plant and equipment, net</t>
  </si>
  <si>
    <t>Income taxes receivable</t>
  </si>
  <si>
    <t>Accounts receivable, less allowance for uncollectible amounts of $4,203 and $3,922, respectively</t>
  </si>
  <si>
    <t>Current assets:</t>
  </si>
  <si>
    <t>ASSETS</t>
  </si>
  <si>
    <t>September 30,</t>
  </si>
  <si>
    <t>December 31,</t>
  </si>
  <si>
    <t>Diluted</t>
  </si>
  <si>
    <t>Basic</t>
  </si>
  <si>
    <t>Weighted Average Common Shares Outstanding:</t>
  </si>
  <si>
    <t>Diluted earnings per share</t>
  </si>
  <si>
    <t>Basic earnings per share</t>
  </si>
  <si>
    <t>Earnings per share:</t>
  </si>
  <si>
    <t>Net earnings</t>
  </si>
  <si>
    <t>Income tax expense</t>
  </si>
  <si>
    <t>Earnings before income taxes</t>
  </si>
  <si>
    <t>Total costs and expenses</t>
  </si>
  <si>
    <t>Other (income) expense, net</t>
  </si>
  <si>
    <t>Interest income</t>
  </si>
  <si>
    <t>Interest expense</t>
  </si>
  <si>
    <t>Research and development costs</t>
  </si>
  <si>
    <t>Selling, general and administrative expenses</t>
  </si>
  <si>
    <t>Cost of goods sold</t>
  </si>
  <si>
    <t>Costs and expenses:</t>
  </si>
  <si>
    <t>Net sales</t>
  </si>
  <si>
    <t>Three-Months Ended</t>
  </si>
  <si>
    <t>Cash and cash equivalents, including restricted cash, at end of period</t>
  </si>
  <si>
    <t>Cash and cash equivalents, including restricted cash, at beginning of year</t>
  </si>
  <si>
    <t>Net change in cash and cash equivalents</t>
  </si>
  <si>
    <t>Effect of exchange rate changes on cash and cash equivalents</t>
  </si>
  <si>
    <t>Net cash provided by (used in) financing activities</t>
  </si>
  <si>
    <t>Payments of long-term debt and finance lease obligations</t>
  </si>
  <si>
    <t>Payments on revolving lines of credit and short-term borrowings</t>
  </si>
  <si>
    <t>Borrowings on revolving lines of credit and short-term borrowings</t>
  </si>
  <si>
    <t>Payments for repurchases of common stock</t>
  </si>
  <si>
    <t>Proceeds from sales of treasury stock</t>
  </si>
  <si>
    <t>Cash dividends paid</t>
  </si>
  <si>
    <t>Cash flows from financing activities:</t>
  </si>
  <si>
    <t>Net cash (used in) investing activities</t>
  </si>
  <si>
    <t>Proceeds from sales of short-term investments</t>
  </si>
  <si>
    <t>Business acquisition, net of cash acquired</t>
  </si>
  <si>
    <t>Payments for purchase of property, plant, and equipment</t>
  </si>
  <si>
    <t>Cash flows from investing activities:</t>
  </si>
  <si>
    <t>Net cash provided by operating activities</t>
  </si>
  <si>
    <t>Retirement benefit obligations</t>
  </si>
  <si>
    <t>Income taxes</t>
  </si>
  <si>
    <t>Contract liabilities</t>
  </si>
  <si>
    <t>Accounts payable and accrued liabilities</t>
  </si>
  <si>
    <t>Costs to fulfill a contract</t>
  </si>
  <si>
    <t>Unbilled receivables (contract assets)</t>
  </si>
  <si>
    <t>Trade accounts receivable</t>
  </si>
  <si>
    <t>Changes in operating assets and liabilities:</t>
  </si>
  <si>
    <t>Net loss (gain) on sales of assets and businesses</t>
  </si>
  <si>
    <t>Adjustments to reconcile net earnings to net cash provided by operating activities:</t>
  </si>
  <si>
    <t>Cash flows from operating activities:</t>
  </si>
  <si>
    <t>Three-Months Ended December 31,</t>
  </si>
  <si>
    <t>Net cash provided by (used in) investing activities</t>
  </si>
  <si>
    <t>Payments for purchases of short-term investments</t>
  </si>
  <si>
    <t>Net loss (gain) on sales of assets</t>
  </si>
  <si>
    <t>Impairment of assets held for sale</t>
  </si>
  <si>
    <t>Other Current Assets % of Sales</t>
  </si>
  <si>
    <t>Accrued Liabilities % of Sales</t>
  </si>
  <si>
    <t>FQ1 '20</t>
  </si>
  <si>
    <t>FQ2 '20</t>
  </si>
  <si>
    <t>FQ3 ' 20</t>
  </si>
  <si>
    <t>FQ4 '20</t>
  </si>
  <si>
    <t>FQ1 '21</t>
  </si>
  <si>
    <t>FQ2 '21</t>
  </si>
  <si>
    <t>FQ3 '21</t>
  </si>
  <si>
    <t>FQ4 '21</t>
  </si>
  <si>
    <t>FQ1 '22</t>
  </si>
  <si>
    <t>FQ2 '22</t>
  </si>
  <si>
    <t>FQ3 '22</t>
  </si>
  <si>
    <t>FQ4 '22</t>
  </si>
  <si>
    <t>FQ1 '23</t>
  </si>
  <si>
    <t>FQ2 '23</t>
  </si>
  <si>
    <t>FQ3 '23</t>
  </si>
  <si>
    <t>FQ4 '23</t>
  </si>
  <si>
    <t>FQ1 '24</t>
  </si>
  <si>
    <t>FQ2 '24</t>
  </si>
  <si>
    <t>FQ3 '24</t>
  </si>
  <si>
    <t>FQ4 '24</t>
  </si>
  <si>
    <t>FQ1 '25</t>
  </si>
  <si>
    <t>FQ2 '25</t>
  </si>
  <si>
    <t>FQ3 '25</t>
  </si>
  <si>
    <t>FQ4 '25</t>
  </si>
  <si>
    <t>Memo: Depreciation</t>
  </si>
  <si>
    <t>Memo: Amortization of Intangibles</t>
  </si>
  <si>
    <t>Check: A= L+E</t>
  </si>
  <si>
    <t>Dividends as % of Net Income</t>
  </si>
  <si>
    <t>Share Repos as % of Net Income</t>
  </si>
  <si>
    <t>Effective Tax Rate</t>
  </si>
  <si>
    <t>Assumptions</t>
  </si>
  <si>
    <t>Value Date</t>
  </si>
  <si>
    <t>Stub period</t>
  </si>
  <si>
    <t>End</t>
  </si>
  <si>
    <t>WACC</t>
  </si>
  <si>
    <t>PGR</t>
  </si>
  <si>
    <t>Terminal Year</t>
  </si>
  <si>
    <t>Revenue</t>
  </si>
  <si>
    <t>% Growth</t>
  </si>
  <si>
    <t>% Margin</t>
  </si>
  <si>
    <t>EBIT</t>
  </si>
  <si>
    <t>Plus: D&amp;A</t>
  </si>
  <si>
    <t>Less: Cash Taxes</t>
  </si>
  <si>
    <t>Less: CapEx</t>
  </si>
  <si>
    <t>Less: Change in NWC</t>
  </si>
  <si>
    <t>Unlevered Free Cash Flow</t>
  </si>
  <si>
    <t>Discount Period</t>
  </si>
  <si>
    <t>Discount Factor</t>
  </si>
  <si>
    <t>PV of Free Cash Flows</t>
  </si>
  <si>
    <t>Perpetuity Growth Methodology</t>
  </si>
  <si>
    <t>Discount Rate</t>
  </si>
  <si>
    <t>Perpetuity Growth Rate</t>
  </si>
  <si>
    <t>Discount Factor for TV</t>
  </si>
  <si>
    <t>Free Cash Flow in Terminal Year</t>
  </si>
  <si>
    <t>Terminal Value</t>
  </si>
  <si>
    <t>Present Value of Projection Period</t>
  </si>
  <si>
    <t>Present Value of Terminal Value</t>
  </si>
  <si>
    <t>Implied Enterprise Value</t>
  </si>
  <si>
    <t>Less: Net Debt</t>
  </si>
  <si>
    <t>Implied Equity Value</t>
  </si>
  <si>
    <t>FDSO</t>
  </si>
  <si>
    <t>Implied DCF Value Per Share</t>
  </si>
  <si>
    <t>Current Price</t>
  </si>
  <si>
    <t xml:space="preserve">Implied Premium / (Discount) to Current </t>
  </si>
  <si>
    <t>Implied Terminal EBITDA Multiple Calculation</t>
  </si>
  <si>
    <t>Adjusted Terminal Valuation</t>
  </si>
  <si>
    <t>Terminal Year EBITDA</t>
  </si>
  <si>
    <t>Implied Terminal EBITDA Multiple</t>
  </si>
  <si>
    <t>Implied Price per Share</t>
  </si>
  <si>
    <t>Discount</t>
  </si>
  <si>
    <t>Rate</t>
  </si>
  <si>
    <t>Implied Premium / (Discount) to Current Share Price</t>
  </si>
  <si>
    <t>FY</t>
  </si>
  <si>
    <t>FY '20</t>
  </si>
  <si>
    <t>Segment Operating Income</t>
  </si>
  <si>
    <t>FY '22</t>
  </si>
  <si>
    <t>FY '21</t>
  </si>
  <si>
    <t>FY '23</t>
  </si>
  <si>
    <t>FY '24</t>
  </si>
  <si>
    <t>FY '25</t>
  </si>
  <si>
    <t>Commercial Aerospace - Deliveries</t>
  </si>
  <si>
    <t>Defense Platforms - Deliveries</t>
  </si>
  <si>
    <t>Commercial Aero - Estimated Revenue ($ in millions)</t>
  </si>
  <si>
    <t>$mm/Ship-Set</t>
  </si>
  <si>
    <t>Pre-Tax Earnings</t>
  </si>
  <si>
    <t>Defense Platforms - Estimated Revenue ($ in millions)</t>
  </si>
  <si>
    <t>Other Commercial OEM Content</t>
  </si>
  <si>
    <t>Other Defense OEM Content</t>
  </si>
  <si>
    <t>OEM Revenue Build</t>
  </si>
  <si>
    <t>Working Capital Ratios</t>
  </si>
  <si>
    <t>Fiscal Year Ended September 30,</t>
  </si>
  <si>
    <t>EST</t>
  </si>
  <si>
    <t>FY '26</t>
  </si>
  <si>
    <t>FY '27</t>
  </si>
  <si>
    <t>FQ4 '19</t>
  </si>
  <si>
    <t>FQ3 '19</t>
  </si>
  <si>
    <t>FQ2 '19</t>
  </si>
  <si>
    <t>FQ1 '19</t>
  </si>
  <si>
    <t>Stubbed UFCF</t>
  </si>
  <si>
    <t>Memo: EBITDA</t>
  </si>
  <si>
    <t>Ticker</t>
  </si>
  <si>
    <t>Price</t>
  </si>
  <si>
    <t>As Of</t>
  </si>
  <si>
    <t>Options</t>
  </si>
  <si>
    <t>WAEP</t>
  </si>
  <si>
    <t>In / Out</t>
  </si>
  <si>
    <t>Proceeds</t>
  </si>
  <si>
    <t>Market Capitalization</t>
  </si>
  <si>
    <t>RSUs</t>
  </si>
  <si>
    <t>Target Price Premium</t>
  </si>
  <si>
    <t>Target Price</t>
  </si>
  <si>
    <t>Fully-Diluted Shares</t>
  </si>
  <si>
    <t>Total ITM</t>
  </si>
  <si>
    <t>Plus: Debt</t>
  </si>
  <si>
    <t>Shares Repurchased</t>
  </si>
  <si>
    <t>Shares Issues (Dilution)</t>
  </si>
  <si>
    <t>Less: Cash &amp; Cash Equivalents</t>
  </si>
  <si>
    <t>Fully Diluted Shares Outstanding</t>
  </si>
  <si>
    <t>Implied Total Enterprise Value</t>
  </si>
  <si>
    <t>WWD</t>
  </si>
  <si>
    <t>Treasury Stock Method Enterprise Value Build</t>
  </si>
  <si>
    <t>Margin Exp (bps)</t>
  </si>
  <si>
    <t>Segment Sales Growth</t>
  </si>
  <si>
    <t>FY '19</t>
  </si>
  <si>
    <t>Growth</t>
  </si>
  <si>
    <t>FY '28</t>
  </si>
  <si>
    <t>Memo: D % of D&amp;A</t>
  </si>
  <si>
    <t>Memo: A% of D&amp;A</t>
  </si>
  <si>
    <t>2023 FY EBIT</t>
  </si>
  <si>
    <t>2023 FY EBITDA</t>
  </si>
  <si>
    <t>Metric</t>
  </si>
  <si>
    <t>Valuation</t>
  </si>
  <si>
    <t>Multiple</t>
  </si>
  <si>
    <t>2024 FY EBIT</t>
  </si>
  <si>
    <t>2024 FY EBITDA</t>
  </si>
  <si>
    <t>Sep'23E</t>
  </si>
  <si>
    <t>Sep'24E</t>
  </si>
  <si>
    <t>Margin</t>
  </si>
  <si>
    <t>Consensus</t>
  </si>
  <si>
    <t>Model</t>
  </si>
  <si>
    <t>Woodward Model</t>
  </si>
  <si>
    <t>TICKER:</t>
  </si>
  <si>
    <t>Units</t>
  </si>
  <si>
    <t>$/SS - WWD ($millions)</t>
  </si>
  <si>
    <t>Value</t>
  </si>
  <si>
    <t>Aircraft</t>
  </si>
  <si>
    <t>Air India Rumored order</t>
  </si>
  <si>
    <t>United Order</t>
  </si>
  <si>
    <t>Woodward</t>
  </si>
  <si>
    <t>Stock Price - United Boeing 787 Order</t>
  </si>
  <si>
    <t>United 787 Order</t>
  </si>
  <si>
    <t>Air India Rumored Order</t>
  </si>
  <si>
    <t>Implied Value Multiple</t>
  </si>
  <si>
    <t>Average</t>
  </si>
  <si>
    <t>Low</t>
  </si>
  <si>
    <t>High</t>
  </si>
  <si>
    <t>Implied WWD Ship Set Value - Un-discounted @ Current $ / SS</t>
  </si>
  <si>
    <t>Implied Potential Stock Reaction @ Discounted Implied Reaction Multiple</t>
  </si>
  <si>
    <t>December 9th, 2022  (Unaffected)</t>
  </si>
  <si>
    <t>December 13th, 2022</t>
  </si>
  <si>
    <t>% Change (Reaction)</t>
  </si>
  <si>
    <t>Margin Exp</t>
  </si>
  <si>
    <t>Q2-Q4 '23</t>
  </si>
  <si>
    <t>Aero  Margin Expansion Q2-Q4 '23</t>
  </si>
  <si>
    <t>Aero Operating Margin Exp</t>
  </si>
  <si>
    <t xml:space="preserve">Industrial Operating Margin Exp </t>
  </si>
  <si>
    <t>Prospective Cost of 
Equity and WACC</t>
  </si>
  <si>
    <t xml:space="preserve"> </t>
  </si>
  <si>
    <t>Multiply by:  Prospective Levered Equity Beta</t>
  </si>
  <si>
    <t>Corresponding Prospective Unlevered Equity Beta</t>
  </si>
  <si>
    <t>Adjusted Prospective US Equity Risk Premium</t>
  </si>
  <si>
    <t>Illustrative Prospective Cost of Equity</t>
  </si>
  <si>
    <t>Multiply by:  Prospective E/(D+E)</t>
  </si>
  <si>
    <t>Cost of Equity Portion</t>
  </si>
  <si>
    <t>Assumed Tax Rate</t>
  </si>
  <si>
    <t>After-Tax Cost of Debt</t>
  </si>
  <si>
    <t>Multiply by:  Prospective D/(D+E)</t>
  </si>
  <si>
    <t>Cost of Debt Portion</t>
  </si>
  <si>
    <t>Prospective WACC Range</t>
  </si>
  <si>
    <t>Midpoint WACC</t>
  </si>
  <si>
    <t>For DCF</t>
  </si>
  <si>
    <t>Memo:</t>
  </si>
  <si>
    <t>D/E</t>
  </si>
  <si>
    <t>D/(D+E)</t>
  </si>
  <si>
    <t>Levered Equity Beta</t>
  </si>
  <si>
    <t>Unlevered Equity Beta(4)</t>
  </si>
  <si>
    <t>Bloomberg Historical 
Adjusted Levered Equity Beta</t>
  </si>
  <si>
    <t>Market Value of Common Equity</t>
  </si>
  <si>
    <t>Total Debt + Pref Stock</t>
  </si>
  <si>
    <t>Leverage Ratios</t>
  </si>
  <si>
    <t>Bloomberg Historical 
Adjusted Unlevered Equity Beta</t>
  </si>
  <si>
    <t>Company</t>
  </si>
  <si>
    <t>1 Year</t>
  </si>
  <si>
    <t>2 Years</t>
  </si>
  <si>
    <t>5 Years</t>
  </si>
  <si>
    <t>D / E</t>
  </si>
  <si>
    <t>D / (D + E)</t>
  </si>
  <si>
    <t>Marginal Tax Rate</t>
  </si>
  <si>
    <t>Mean</t>
  </si>
  <si>
    <t>Median</t>
  </si>
  <si>
    <t>Reference Range - Prospective Unlevered Equity Beta</t>
  </si>
  <si>
    <t>Target Debt / Equity Ratio</t>
  </si>
  <si>
    <t>Refernce Range - Prospective Levered Equity Beta</t>
  </si>
  <si>
    <t>Eaton</t>
  </si>
  <si>
    <t>Total Comp Set</t>
  </si>
  <si>
    <t>Woodward Marginal Tax Rate</t>
  </si>
  <si>
    <t>Curtiss-Wright</t>
  </si>
  <si>
    <t>Hexcel</t>
  </si>
  <si>
    <t>Moog</t>
  </si>
  <si>
    <t>Parker-Hannafin</t>
  </si>
  <si>
    <t>Transdigm</t>
  </si>
  <si>
    <t>Aerospace Peers</t>
  </si>
  <si>
    <t>Industrial Peers</t>
  </si>
  <si>
    <t>Caterpillar</t>
  </si>
  <si>
    <t>Flowserve</t>
  </si>
  <si>
    <t>Pentair</t>
  </si>
  <si>
    <t>WACC Calculation</t>
  </si>
  <si>
    <t>Prospective US Equity Risk Premium</t>
  </si>
  <si>
    <t>Add: Risk-Free Rate of Return (Rf)</t>
  </si>
  <si>
    <t>Assumed Cost of Debt (Kd)</t>
  </si>
  <si>
    <t>Month</t>
  </si>
  <si>
    <t>Day</t>
  </si>
  <si>
    <t>Event</t>
  </si>
  <si>
    <t>Potential Catalyst</t>
  </si>
  <si>
    <t>Woodward potential investor day (held on March 9, 2022 last year)</t>
  </si>
  <si>
    <t>Further insight on plans; potential news or guidance on other strategic or financial matters</t>
  </si>
  <si>
    <t>~6-10</t>
  </si>
  <si>
    <t>~6-28</t>
  </si>
  <si>
    <t>Potential upside catalyst to stock</t>
  </si>
  <si>
    <t>Cowen Aerospace / Defense &amp; Industrials Conference</t>
  </si>
  <si>
    <t>16</t>
  </si>
  <si>
    <t>Potential investor news from attendees (Tier 1s and OEMs)</t>
  </si>
  <si>
    <t>22</t>
  </si>
  <si>
    <t>Barclays Industrials Conference</t>
  </si>
  <si>
    <t>1</t>
  </si>
  <si>
    <t>Alembic Global Advisors Conference</t>
  </si>
  <si>
    <t>Potential investor news from attendees (Tier 1s and OEMs ie. Hexcel, Boeing in attendance)</t>
  </si>
  <si>
    <t>Competitive information (supply chain progression and other guidance)</t>
  </si>
  <si>
    <t>Curtiss-Wright Fourth Quarter and Full Year 2022 Earnings Presentation (9am)</t>
  </si>
  <si>
    <t>23</t>
  </si>
  <si>
    <t>Citi 2023 Global Industrial Tech and Mobility Conference</t>
  </si>
  <si>
    <t>Potential investor news from attendees (Tier 1s and OEMs ie. Curtiss-Wright to participate)</t>
  </si>
  <si>
    <t>28-3/5</t>
  </si>
  <si>
    <t>Avalon 2023 Australian International Airshow &amp; A&amp;D Exposition</t>
  </si>
  <si>
    <t>Potential announcements from customers on order or other competitive information</t>
  </si>
  <si>
    <t>Paris Air Show</t>
  </si>
  <si>
    <t>Premier aviation event and typically can expect order announcements and other key information dissemination</t>
  </si>
  <si>
    <t>Key trading event</t>
  </si>
  <si>
    <t>WWD FY'23 Q2 Earnings Release (TBD Scheduling)</t>
  </si>
  <si>
    <t>~1-12</t>
  </si>
  <si>
    <t>Interest Exp</t>
  </si>
  <si>
    <t>22FY</t>
  </si>
  <si>
    <t>Tot. Debt</t>
  </si>
  <si>
    <t>Implied Rate</t>
  </si>
  <si>
    <t>Conservative Discount to Implied Reaction Multiple</t>
  </si>
  <si>
    <t>~24-28</t>
  </si>
  <si>
    <t>Key information on commercial orders and defense programs</t>
  </si>
  <si>
    <t>9</t>
  </si>
  <si>
    <t>2023 GE Investor Conference</t>
  </si>
  <si>
    <t>Potential for news/information on order / equipment and service growth and general market trend information</t>
  </si>
  <si>
    <t>Key information on orders / equipment &amp; service guidance</t>
  </si>
  <si>
    <t>Rolls-Royce 2022 Full Year Results Print</t>
  </si>
  <si>
    <t>Key customer - guidance and general trend information impacting WWD</t>
  </si>
  <si>
    <t>19</t>
  </si>
  <si>
    <t>CAT Q1 Earnings Release</t>
  </si>
  <si>
    <t>Wartsila London Roadshow</t>
  </si>
  <si>
    <t>27</t>
  </si>
  <si>
    <t>Wartsila CEO Call</t>
  </si>
  <si>
    <t>Boeing Q1 Print (TBD Scheduling)</t>
  </si>
  <si>
    <t>GE Q1 Print (TBD Scheduling)</t>
  </si>
  <si>
    <t>Raytheon Q1 Print (TBD Scheduling)</t>
  </si>
  <si>
    <t>6</t>
  </si>
  <si>
    <t>Cummins Q4 2022 Earnings Call (10am ET)</t>
  </si>
  <si>
    <t>Power systems guidance / trend information - potential margin expansion may signal near-term guidance for WWD on industrial segment</t>
  </si>
  <si>
    <t>Cummins Q1 Earnings Release</t>
  </si>
  <si>
    <t>Potential Air India announcement for 500 unit order from Boeing &amp; Airbus (rumored for Jan 27th)</t>
  </si>
  <si>
    <t>Valuation Sensitivities - Near-Term Margin Expansion</t>
  </si>
  <si>
    <t>Valuation Sensitivities - PGR &amp; WACC</t>
  </si>
  <si>
    <t>Sensitivity Analysis</t>
  </si>
  <si>
    <t>Discounted Cash Flow Analysis</t>
  </si>
  <si>
    <t>EPS</t>
  </si>
  <si>
    <t>Dividends Per Share</t>
  </si>
  <si>
    <t>Total EBIT Margin</t>
  </si>
  <si>
    <t>Memo: Cash Flow Ratios</t>
  </si>
  <si>
    <t>LTM EBITDA</t>
  </si>
  <si>
    <t>Net Debt / LTM EBITDA</t>
  </si>
  <si>
    <t>Memo: Credit Metrics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</si>
</sst>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6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_(* #,##0.0_);_(* \(#,##0.0\);_(* &quot;-&quot;??_);_(@_)"/>
    <numFmt numFmtId="167" formatCode="_(* #,##0.0_);_(* \(#,##0.0\);_(* &quot;-&quot;?_);_(@_)"/>
    <numFmt numFmtId="168" formatCode="0.0"/>
    <numFmt numFmtId="169" formatCode="#,##0.0"/>
    <numFmt numFmtId="170" formatCode="0.000"/>
    <numFmt numFmtId="172" formatCode="_(* #,##0.000_);_(* \(#,##0.000\);_(* &quot;-&quot;??_);_(@_)"/>
    <numFmt numFmtId="174" formatCode="_(\$* #,##0_);_(\$* \(#,##0\);_(\$* &quot;-&quot;_);_(@_)"/>
    <numFmt numFmtId="175" formatCode="_(#,##0_);_(\(#,##0\);_(&quot;-&quot;_);_(@_)"/>
    <numFmt numFmtId="176" formatCode="_(0_);_(\(0\);_(&quot;-&quot;_);@_)"/>
    <numFmt numFmtId="177" formatCode="_(\$* #,##0.00_);_(\$* \(#,##0.00\);_(\$* &quot;-&quot;_);_(@_)"/>
    <numFmt numFmtId="178" formatCode="0&quot;A&quot;"/>
    <numFmt numFmtId="179" formatCode="0&quot;E&quot;"/>
    <numFmt numFmtId="180" formatCode="&quot;$&quot;#,##0.00"/>
    <numFmt numFmtId="181" formatCode="&quot;$&quot;#,##0.0"/>
    <numFmt numFmtId="182" formatCode="0.0\x"/>
    <numFmt numFmtId="184" formatCode="_(&quot;$&quot;* #,##0.000_);_(&quot;$&quot;* \(#,##0.000\);_(&quot;$&quot;* &quot;-&quot;??_);_(@_)"/>
    <numFmt numFmtId="187" formatCode="[$-409]mmm\-yy;@"/>
    <numFmt numFmtId="192" formatCode="#,##0&quot;bps&quot;"/>
    <numFmt numFmtId="193" formatCode="_(&quot;$&quot;* #,##0.0_);_(&quot;$&quot;* \(#,##0.0\);_(&quot;$&quot;* &quot;-&quot;??_);_(@_)"/>
    <numFmt numFmtId="196" formatCode="0&quot;bps&quot;"/>
  </numFmts>
  <fonts count="51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color theme="4"/>
      <name val="Arial"/>
      <family val="2"/>
    </font>
    <font>
      <b/>
      <sz val="10"/>
      <name val="Arial"/>
      <family val="2"/>
    </font>
    <font>
      <b/>
      <sz val="10"/>
      <color theme="4"/>
      <name val="Arial"/>
      <family val="2"/>
    </font>
    <font>
      <b/>
      <sz val="10"/>
      <color theme="0"/>
      <name val="Arial"/>
      <family val="2"/>
    </font>
    <font>
      <i/>
      <sz val="10"/>
      <name val="Arial"/>
      <family val="2"/>
    </font>
    <font>
      <i/>
      <sz val="10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u/>
      <sz val="11"/>
      <color rgb="FF0000FF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0"/>
      <color rgb="FF000000"/>
      <name val="Arial"/>
      <family val="2"/>
    </font>
    <font>
      <b/>
      <sz val="11"/>
      <color theme="0"/>
      <name val="Arial"/>
      <family val="2"/>
    </font>
    <font>
      <i/>
      <sz val="1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i/>
      <sz val="11"/>
      <color theme="1"/>
      <name val="Arial"/>
      <family val="2"/>
    </font>
    <font>
      <b/>
      <i/>
      <sz val="11"/>
      <name val="Arial"/>
      <family val="2"/>
    </font>
    <font>
      <sz val="11"/>
      <color theme="0"/>
      <name val="Arial"/>
      <family val="2"/>
    </font>
    <font>
      <b/>
      <sz val="11"/>
      <color rgb="FF0000FF"/>
      <name val="Arial"/>
      <family val="2"/>
    </font>
    <font>
      <b/>
      <i/>
      <sz val="10"/>
      <color theme="1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0"/>
      <color rgb="FF0066FF"/>
      <name val="Arial"/>
      <family val="2"/>
    </font>
    <font>
      <sz val="10"/>
      <color rgb="FF0066FF"/>
      <name val="Arial"/>
      <family val="2"/>
    </font>
    <font>
      <i/>
      <sz val="10"/>
      <color rgb="FF0066FF"/>
      <name val="Arial"/>
      <family val="2"/>
    </font>
    <font>
      <b/>
      <sz val="28"/>
      <color theme="1"/>
      <name val="Arial"/>
      <family val="2"/>
    </font>
    <font>
      <sz val="28"/>
      <color theme="1"/>
      <name val="Arial"/>
      <family val="2"/>
    </font>
    <font>
      <b/>
      <sz val="28"/>
      <color rgb="FF0000FF"/>
      <name val="Arial"/>
      <family val="2"/>
    </font>
    <font>
      <b/>
      <sz val="28"/>
      <name val="Arial"/>
      <family val="2"/>
    </font>
    <font>
      <sz val="11"/>
      <color rgb="FF0066FF"/>
      <name val="Arial"/>
      <family val="2"/>
    </font>
    <font>
      <sz val="10"/>
      <color rgb="FF00B050"/>
      <name val="Arial"/>
      <family val="2"/>
    </font>
    <font>
      <sz val="10"/>
      <color rgb="FF0000FF"/>
      <name val="Arial"/>
      <family val="2"/>
    </font>
    <font>
      <u/>
      <sz val="10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C99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</patternFill>
    </fill>
    <fill>
      <patternFill patternType="solid">
        <fgColor rgb="FF014B8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</fills>
  <borders count="49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D0D0D0"/>
      </left>
      <right style="thin">
        <color rgb="FFD0D0D0"/>
      </right>
      <top style="thin">
        <color rgb="FFD0D0D0"/>
      </top>
      <bottom/>
      <diagonal/>
    </border>
    <border>
      <left style="thin">
        <color rgb="FFD0D0D0"/>
      </left>
      <right style="thin">
        <color rgb="FFD0D0D0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rgb="FFD0D0D0"/>
      </left>
      <right style="thin">
        <color rgb="FFD0D0D0"/>
      </right>
      <top/>
      <bottom style="thin">
        <color indexed="64"/>
      </bottom>
      <diagonal/>
    </border>
    <border>
      <left style="thin">
        <color rgb="FFD0D0D0"/>
      </left>
      <right style="thin">
        <color rgb="FFD0D0D0"/>
      </right>
      <top/>
      <bottom/>
      <diagonal/>
    </border>
    <border>
      <left/>
      <right style="thin">
        <color rgb="FFD0D0D0"/>
      </right>
      <top/>
      <bottom/>
      <diagonal/>
    </border>
    <border>
      <left/>
      <right style="thin">
        <color rgb="FFD0D0D0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rgb="FFFF0000"/>
      </left>
      <right style="dotted">
        <color rgb="FFFF0000"/>
      </right>
      <top style="dotted">
        <color rgb="FFFF0000"/>
      </top>
      <bottom style="dotted">
        <color rgb="FFFF0000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4">
    <xf numFmtId="0" fontId="0" fillId="0" borderId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9" fillId="0" borderId="0"/>
    <xf numFmtId="0" fontId="11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3" fillId="6" borderId="7" applyNumberFormat="0" applyAlignment="0" applyProtection="0"/>
    <xf numFmtId="0" fontId="2" fillId="0" borderId="0"/>
    <xf numFmtId="4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20">
    <xf numFmtId="0" fontId="0" fillId="0" borderId="0" xfId="0"/>
    <xf numFmtId="0" fontId="4" fillId="0" borderId="0" xfId="0" applyFont="1"/>
    <xf numFmtId="0" fontId="0" fillId="0" borderId="0" xfId="0" quotePrefix="1"/>
    <xf numFmtId="0" fontId="4" fillId="4" borderId="0" xfId="0" applyFont="1" applyFill="1"/>
    <xf numFmtId="0" fontId="4" fillId="5" borderId="0" xfId="0" applyFont="1" applyFill="1"/>
    <xf numFmtId="0" fontId="6" fillId="0" borderId="0" xfId="1" applyFont="1"/>
    <xf numFmtId="0" fontId="6" fillId="0" borderId="0" xfId="1" quotePrefix="1" applyFont="1"/>
    <xf numFmtId="0" fontId="7" fillId="0" borderId="0" xfId="1" applyFont="1"/>
    <xf numFmtId="0" fontId="8" fillId="0" borderId="3" xfId="1" applyFont="1" applyBorder="1"/>
    <xf numFmtId="0" fontId="9" fillId="0" borderId="0" xfId="4"/>
    <xf numFmtId="0" fontId="10" fillId="0" borderId="3" xfId="4" applyFont="1" applyBorder="1"/>
    <xf numFmtId="0" fontId="10" fillId="0" borderId="3" xfId="4" quotePrefix="1" applyFont="1" applyBorder="1"/>
    <xf numFmtId="0" fontId="4" fillId="0" borderId="3" xfId="0" applyFont="1" applyBorder="1"/>
    <xf numFmtId="170" fontId="4" fillId="0" borderId="3" xfId="0" applyNumberFormat="1" applyFont="1" applyBorder="1"/>
    <xf numFmtId="170" fontId="4" fillId="5" borderId="0" xfId="0" applyNumberFormat="1" applyFont="1" applyFill="1"/>
    <xf numFmtId="0" fontId="5" fillId="0" borderId="0" xfId="5" applyFont="1"/>
    <xf numFmtId="0" fontId="11" fillId="0" borderId="0" xfId="5"/>
    <xf numFmtId="0" fontId="12" fillId="0" borderId="0" xfId="5" applyFont="1" applyAlignment="1">
      <alignment horizontal="center"/>
    </xf>
    <xf numFmtId="0" fontId="12" fillId="0" borderId="0" xfId="5" applyFont="1"/>
    <xf numFmtId="0" fontId="5" fillId="0" borderId="0" xfId="5" applyFont="1" applyAlignment="1">
      <alignment horizontal="center"/>
    </xf>
    <xf numFmtId="0" fontId="4" fillId="0" borderId="6" xfId="0" applyFont="1" applyBorder="1"/>
    <xf numFmtId="0" fontId="14" fillId="0" borderId="0" xfId="0" applyFont="1"/>
    <xf numFmtId="0" fontId="20" fillId="0" borderId="0" xfId="0" applyFont="1"/>
    <xf numFmtId="0" fontId="4" fillId="0" borderId="4" xfId="0" applyFont="1" applyBorder="1"/>
    <xf numFmtId="0" fontId="16" fillId="0" borderId="0" xfId="0" applyFont="1"/>
    <xf numFmtId="165" fontId="15" fillId="0" borderId="0" xfId="7" applyNumberFormat="1" applyFont="1" applyFill="1"/>
    <xf numFmtId="164" fontId="0" fillId="0" borderId="0" xfId="6" applyNumberFormat="1" applyFont="1"/>
    <xf numFmtId="165" fontId="14" fillId="0" borderId="0" xfId="7" applyNumberFormat="1" applyFont="1" applyFill="1"/>
    <xf numFmtId="166" fontId="15" fillId="0" borderId="0" xfId="6" applyNumberFormat="1" applyFont="1" applyBorder="1"/>
    <xf numFmtId="0" fontId="4" fillId="0" borderId="5" xfId="0" applyFont="1" applyBorder="1"/>
    <xf numFmtId="166" fontId="15" fillId="0" borderId="0" xfId="6" applyNumberFormat="1" applyFont="1"/>
    <xf numFmtId="165" fontId="14" fillId="0" borderId="0" xfId="7" applyNumberFormat="1" applyFont="1"/>
    <xf numFmtId="9" fontId="0" fillId="0" borderId="0" xfId="7" applyFont="1"/>
    <xf numFmtId="0" fontId="4" fillId="8" borderId="0" xfId="0" applyFont="1" applyFill="1" applyAlignment="1">
      <alignment horizontal="left"/>
    </xf>
    <xf numFmtId="169" fontId="4" fillId="0" borderId="3" xfId="0" applyNumberFormat="1" applyFont="1" applyBorder="1" applyAlignment="1">
      <alignment horizontal="right"/>
    </xf>
    <xf numFmtId="169" fontId="4" fillId="0" borderId="0" xfId="0" applyNumberFormat="1" applyFont="1" applyAlignment="1">
      <alignment horizontal="right"/>
    </xf>
    <xf numFmtId="9" fontId="0" fillId="0" borderId="0" xfId="7" applyFont="1" applyAlignment="1">
      <alignment horizontal="right"/>
    </xf>
    <xf numFmtId="166" fontId="0" fillId="0" borderId="0" xfId="6" applyNumberFormat="1" applyFont="1"/>
    <xf numFmtId="166" fontId="0" fillId="0" borderId="0" xfId="6" applyNumberFormat="1" applyFont="1" applyBorder="1"/>
    <xf numFmtId="0" fontId="2" fillId="0" borderId="0" xfId="9"/>
    <xf numFmtId="0" fontId="25" fillId="0" borderId="0" xfId="9" applyFont="1"/>
    <xf numFmtId="174" fontId="26" fillId="0" borderId="0" xfId="9" applyNumberFormat="1" applyFont="1"/>
    <xf numFmtId="0" fontId="27" fillId="0" borderId="0" xfId="9" applyFont="1" applyAlignment="1">
      <alignment horizontal="left"/>
    </xf>
    <xf numFmtId="175" fontId="26" fillId="0" borderId="0" xfId="9" applyNumberFormat="1" applyFont="1"/>
    <xf numFmtId="0" fontId="2" fillId="0" borderId="0" xfId="9" applyAlignment="1">
      <alignment horizontal="left"/>
    </xf>
    <xf numFmtId="176" fontId="26" fillId="0" borderId="0" xfId="9" applyNumberFormat="1" applyFont="1" applyAlignment="1">
      <alignment horizontal="right"/>
    </xf>
    <xf numFmtId="176" fontId="27" fillId="0" borderId="0" xfId="9" applyNumberFormat="1" applyFont="1" applyAlignment="1">
      <alignment horizontal="right"/>
    </xf>
    <xf numFmtId="177" fontId="26" fillId="0" borderId="0" xfId="9" applyNumberFormat="1" applyFont="1"/>
    <xf numFmtId="176" fontId="27" fillId="0" borderId="0" xfId="9" applyNumberFormat="1" applyFont="1" applyAlignment="1">
      <alignment horizontal="centerContinuous"/>
    </xf>
    <xf numFmtId="9" fontId="28" fillId="0" borderId="0" xfId="7" applyFont="1"/>
    <xf numFmtId="0" fontId="29" fillId="10" borderId="0" xfId="11" applyFont="1" applyFill="1"/>
    <xf numFmtId="0" fontId="6" fillId="0" borderId="0" xfId="11" applyFont="1"/>
    <xf numFmtId="0" fontId="8" fillId="5" borderId="4" xfId="11" applyFont="1" applyFill="1" applyBorder="1"/>
    <xf numFmtId="178" fontId="8" fillId="5" borderId="17" xfId="11" applyNumberFormat="1" applyFont="1" applyFill="1" applyBorder="1" applyAlignment="1">
      <alignment horizontal="right"/>
    </xf>
    <xf numFmtId="179" fontId="8" fillId="5" borderId="4" xfId="11" applyNumberFormat="1" applyFont="1" applyFill="1" applyBorder="1" applyAlignment="1">
      <alignment horizontal="right"/>
    </xf>
    <xf numFmtId="179" fontId="8" fillId="5" borderId="17" xfId="11" applyNumberFormat="1" applyFont="1" applyFill="1" applyBorder="1" applyAlignment="1">
      <alignment horizontal="right"/>
    </xf>
    <xf numFmtId="0" fontId="6" fillId="0" borderId="0" xfId="11" applyFont="1" applyAlignment="1">
      <alignment horizontal="right"/>
    </xf>
    <xf numFmtId="0" fontId="6" fillId="0" borderId="18" xfId="11" applyFont="1" applyBorder="1"/>
    <xf numFmtId="166" fontId="6" fillId="0" borderId="18" xfId="12" applyNumberFormat="1" applyFont="1" applyBorder="1" applyAlignment="1">
      <alignment horizontal="right"/>
    </xf>
    <xf numFmtId="166" fontId="6" fillId="0" borderId="0" xfId="12" applyNumberFormat="1" applyFont="1" applyAlignment="1">
      <alignment horizontal="right"/>
    </xf>
    <xf numFmtId="9" fontId="7" fillId="0" borderId="18" xfId="13" applyFont="1" applyBorder="1" applyAlignment="1">
      <alignment horizontal="right"/>
    </xf>
    <xf numFmtId="9" fontId="7" fillId="0" borderId="0" xfId="13" applyFont="1" applyAlignment="1">
      <alignment horizontal="right"/>
    </xf>
    <xf numFmtId="9" fontId="30" fillId="0" borderId="0" xfId="13" applyFont="1" applyAlignment="1">
      <alignment horizontal="right"/>
    </xf>
    <xf numFmtId="9" fontId="30" fillId="0" borderId="0" xfId="11" applyNumberFormat="1" applyFont="1" applyAlignment="1">
      <alignment horizontal="right"/>
    </xf>
    <xf numFmtId="9" fontId="30" fillId="0" borderId="18" xfId="11" applyNumberFormat="1" applyFont="1" applyBorder="1" applyAlignment="1">
      <alignment horizontal="right"/>
    </xf>
    <xf numFmtId="0" fontId="6" fillId="0" borderId="18" xfId="11" applyFont="1" applyBorder="1" applyAlignment="1">
      <alignment horizontal="right"/>
    </xf>
    <xf numFmtId="166" fontId="31" fillId="0" borderId="18" xfId="12" applyNumberFormat="1" applyFont="1" applyFill="1" applyBorder="1" applyAlignment="1">
      <alignment horizontal="right"/>
    </xf>
    <xf numFmtId="166" fontId="31" fillId="0" borderId="0" xfId="12" applyNumberFormat="1" applyFont="1" applyFill="1" applyAlignment="1">
      <alignment horizontal="right"/>
    </xf>
    <xf numFmtId="0" fontId="31" fillId="0" borderId="0" xfId="11" applyFont="1"/>
    <xf numFmtId="0" fontId="8" fillId="0" borderId="4" xfId="11" applyFont="1" applyBorder="1"/>
    <xf numFmtId="166" fontId="32" fillId="0" borderId="17" xfId="12" applyNumberFormat="1" applyFont="1" applyFill="1" applyBorder="1" applyAlignment="1">
      <alignment horizontal="right"/>
    </xf>
    <xf numFmtId="166" fontId="32" fillId="0" borderId="4" xfId="12" applyNumberFormat="1" applyFont="1" applyFill="1" applyBorder="1" applyAlignment="1">
      <alignment horizontal="right"/>
    </xf>
    <xf numFmtId="0" fontId="33" fillId="0" borderId="0" xfId="11" applyFont="1"/>
    <xf numFmtId="0" fontId="33" fillId="0" borderId="18" xfId="11" applyFont="1" applyBorder="1" applyAlignment="1">
      <alignment horizontal="right"/>
    </xf>
    <xf numFmtId="43" fontId="33" fillId="0" borderId="0" xfId="12" applyFont="1" applyAlignment="1">
      <alignment horizontal="right"/>
    </xf>
    <xf numFmtId="43" fontId="33" fillId="0" borderId="18" xfId="12" applyFont="1" applyBorder="1" applyAlignment="1">
      <alignment horizontal="right"/>
    </xf>
    <xf numFmtId="168" fontId="33" fillId="0" borderId="18" xfId="11" applyNumberFormat="1" applyFont="1" applyBorder="1" applyAlignment="1">
      <alignment horizontal="right"/>
    </xf>
    <xf numFmtId="0" fontId="7" fillId="0" borderId="0" xfId="11" applyFont="1"/>
    <xf numFmtId="169" fontId="6" fillId="0" borderId="18" xfId="11" applyNumberFormat="1" applyFont="1" applyBorder="1" applyAlignment="1">
      <alignment horizontal="right"/>
    </xf>
    <xf numFmtId="166" fontId="7" fillId="0" borderId="0" xfId="12" applyNumberFormat="1" applyFont="1" applyAlignment="1">
      <alignment horizontal="right"/>
    </xf>
    <xf numFmtId="166" fontId="7" fillId="0" borderId="18" xfId="12" applyNumberFormat="1" applyFont="1" applyBorder="1" applyAlignment="1">
      <alignment horizontal="right"/>
    </xf>
    <xf numFmtId="0" fontId="6" fillId="5" borderId="4" xfId="11" applyFont="1" applyFill="1" applyBorder="1"/>
    <xf numFmtId="9" fontId="31" fillId="0" borderId="0" xfId="11" applyNumberFormat="1" applyFont="1"/>
    <xf numFmtId="165" fontId="6" fillId="0" borderId="0" xfId="11" applyNumberFormat="1" applyFont="1"/>
    <xf numFmtId="169" fontId="6" fillId="0" borderId="0" xfId="11" applyNumberFormat="1" applyFont="1"/>
    <xf numFmtId="0" fontId="8" fillId="0" borderId="0" xfId="11" applyFont="1"/>
    <xf numFmtId="169" fontId="8" fillId="0" borderId="3" xfId="11" applyNumberFormat="1" applyFont="1" applyBorder="1"/>
    <xf numFmtId="0" fontId="8" fillId="5" borderId="19" xfId="11" applyFont="1" applyFill="1" applyBorder="1"/>
    <xf numFmtId="169" fontId="8" fillId="5" borderId="20" xfId="11" applyNumberFormat="1" applyFont="1" applyFill="1" applyBorder="1"/>
    <xf numFmtId="180" fontId="8" fillId="5" borderId="20" xfId="11" applyNumberFormat="1" applyFont="1" applyFill="1" applyBorder="1"/>
    <xf numFmtId="181" fontId="8" fillId="0" borderId="0" xfId="11" applyNumberFormat="1" applyFont="1"/>
    <xf numFmtId="0" fontId="33" fillId="0" borderId="19" xfId="11" applyFont="1" applyBorder="1"/>
    <xf numFmtId="0" fontId="33" fillId="0" borderId="4" xfId="11" applyFont="1" applyBorder="1"/>
    <xf numFmtId="10" fontId="33" fillId="0" borderId="20" xfId="13" applyNumberFormat="1" applyFont="1" applyBorder="1" applyAlignment="1">
      <alignment vertical="center"/>
    </xf>
    <xf numFmtId="0" fontId="8" fillId="0" borderId="6" xfId="11" applyFont="1" applyBorder="1"/>
    <xf numFmtId="166" fontId="6" fillId="0" borderId="0" xfId="12" applyNumberFormat="1" applyFont="1"/>
    <xf numFmtId="166" fontId="6" fillId="0" borderId="0" xfId="11" applyNumberFormat="1" applyFont="1"/>
    <xf numFmtId="182" fontId="6" fillId="0" borderId="0" xfId="11" applyNumberFormat="1" applyFont="1"/>
    <xf numFmtId="0" fontId="34" fillId="0" borderId="0" xfId="11" applyFont="1"/>
    <xf numFmtId="0" fontId="31" fillId="5" borderId="10" xfId="11" applyFont="1" applyFill="1" applyBorder="1"/>
    <xf numFmtId="0" fontId="31" fillId="5" borderId="3" xfId="11" applyFont="1" applyFill="1" applyBorder="1"/>
    <xf numFmtId="0" fontId="32" fillId="5" borderId="4" xfId="11" applyFont="1" applyFill="1" applyBorder="1" applyAlignment="1">
      <alignment horizontal="centerContinuous"/>
    </xf>
    <xf numFmtId="0" fontId="31" fillId="5" borderId="21" xfId="11" applyFont="1" applyFill="1" applyBorder="1"/>
    <xf numFmtId="181" fontId="35" fillId="0" borderId="10" xfId="11" applyNumberFormat="1" applyFont="1" applyBorder="1"/>
    <xf numFmtId="10" fontId="32" fillId="0" borderId="4" xfId="13" applyNumberFormat="1" applyFont="1" applyBorder="1"/>
    <xf numFmtId="10" fontId="36" fillId="0" borderId="4" xfId="11" applyNumberFormat="1" applyFont="1" applyBorder="1"/>
    <xf numFmtId="10" fontId="6" fillId="0" borderId="0" xfId="13" applyNumberFormat="1" applyFont="1"/>
    <xf numFmtId="0" fontId="31" fillId="5" borderId="21" xfId="11" applyFont="1" applyFill="1" applyBorder="1" applyAlignment="1">
      <alignment horizontal="centerContinuous"/>
    </xf>
    <xf numFmtId="10" fontId="32" fillId="0" borderId="8" xfId="13" applyNumberFormat="1" applyFont="1" applyBorder="1"/>
    <xf numFmtId="180" fontId="31" fillId="0" borderId="0" xfId="12" applyNumberFormat="1" applyFont="1"/>
    <xf numFmtId="0" fontId="32" fillId="5" borderId="21" xfId="11" applyFont="1" applyFill="1" applyBorder="1" applyAlignment="1">
      <alignment horizontal="centerContinuous"/>
    </xf>
    <xf numFmtId="4" fontId="31" fillId="0" borderId="0" xfId="12" applyNumberFormat="1" applyFont="1"/>
    <xf numFmtId="181" fontId="31" fillId="0" borderId="10" xfId="11" applyNumberFormat="1" applyFont="1" applyBorder="1"/>
    <xf numFmtId="165" fontId="31" fillId="0" borderId="0" xfId="13" applyNumberFormat="1" applyFont="1"/>
    <xf numFmtId="169" fontId="4" fillId="0" borderId="3" xfId="0" applyNumberFormat="1" applyFont="1" applyFill="1" applyBorder="1" applyAlignment="1">
      <alignment horizontal="right"/>
    </xf>
    <xf numFmtId="0" fontId="4" fillId="4" borderId="8" xfId="0" applyFont="1" applyFill="1" applyBorder="1"/>
    <xf numFmtId="0" fontId="4" fillId="5" borderId="8" xfId="0" applyFont="1" applyFill="1" applyBorder="1"/>
    <xf numFmtId="169" fontId="4" fillId="5" borderId="8" xfId="0" applyNumberFormat="1" applyFont="1" applyFill="1" applyBorder="1" applyAlignment="1">
      <alignment horizontal="right"/>
    </xf>
    <xf numFmtId="169" fontId="4" fillId="0" borderId="5" xfId="0" applyNumberFormat="1" applyFont="1" applyBorder="1" applyAlignment="1">
      <alignment horizontal="right"/>
    </xf>
    <xf numFmtId="0" fontId="18" fillId="11" borderId="0" xfId="0" applyFont="1" applyFill="1"/>
    <xf numFmtId="9" fontId="20" fillId="0" borderId="0" xfId="7" applyFont="1" applyAlignment="1">
      <alignment horizontal="right"/>
    </xf>
    <xf numFmtId="0" fontId="0" fillId="0" borderId="0" xfId="0" applyFont="1"/>
    <xf numFmtId="0" fontId="20" fillId="0" borderId="0" xfId="0" applyFont="1" applyAlignment="1">
      <alignment horizontal="left" indent="1"/>
    </xf>
    <xf numFmtId="0" fontId="18" fillId="11" borderId="8" xfId="0" applyFont="1" applyFill="1" applyBorder="1"/>
    <xf numFmtId="0" fontId="4" fillId="0" borderId="0" xfId="0" applyFont="1" applyBorder="1"/>
    <xf numFmtId="169" fontId="4" fillId="0" borderId="0" xfId="0" applyNumberFormat="1" applyFont="1" applyBorder="1" applyAlignment="1">
      <alignment horizontal="right"/>
    </xf>
    <xf numFmtId="0" fontId="4" fillId="12" borderId="0" xfId="0" applyFont="1" applyFill="1"/>
    <xf numFmtId="170" fontId="4" fillId="12" borderId="0" xfId="0" applyNumberFormat="1" applyFont="1" applyFill="1"/>
    <xf numFmtId="0" fontId="4" fillId="12" borderId="8" xfId="0" applyFont="1" applyFill="1" applyBorder="1"/>
    <xf numFmtId="184" fontId="0" fillId="0" borderId="0" xfId="10" applyNumberFormat="1" applyFont="1"/>
    <xf numFmtId="0" fontId="0" fillId="0" borderId="6" xfId="0" applyBorder="1"/>
    <xf numFmtId="43" fontId="15" fillId="0" borderId="0" xfId="0" applyNumberFormat="1" applyFont="1"/>
    <xf numFmtId="9" fontId="15" fillId="0" borderId="0" xfId="7" applyFont="1"/>
    <xf numFmtId="9" fontId="15" fillId="0" borderId="0" xfId="0" applyNumberFormat="1" applyFont="1"/>
    <xf numFmtId="0" fontId="4" fillId="13" borderId="0" xfId="0" applyFont="1" applyFill="1" applyAlignment="1">
      <alignment horizontal="left"/>
    </xf>
    <xf numFmtId="0" fontId="18" fillId="13" borderId="0" xfId="0" applyFont="1" applyFill="1" applyAlignment="1">
      <alignment horizontal="left"/>
    </xf>
    <xf numFmtId="187" fontId="4" fillId="8" borderId="0" xfId="0" applyNumberFormat="1" applyFont="1" applyFill="1" applyAlignment="1">
      <alignment horizontal="left"/>
    </xf>
    <xf numFmtId="0" fontId="18" fillId="13" borderId="8" xfId="0" applyFont="1" applyFill="1" applyBorder="1" applyAlignment="1">
      <alignment horizontal="left"/>
    </xf>
    <xf numFmtId="0" fontId="20" fillId="8" borderId="0" xfId="0" applyFont="1" applyFill="1" applyAlignment="1">
      <alignment horizontal="left"/>
    </xf>
    <xf numFmtId="0" fontId="4" fillId="4" borderId="0" xfId="0" applyFont="1" applyFill="1" applyAlignment="1">
      <alignment horizontal="left"/>
    </xf>
    <xf numFmtId="187" fontId="4" fillId="4" borderId="0" xfId="0" applyNumberFormat="1" applyFont="1" applyFill="1" applyAlignment="1">
      <alignment horizontal="left"/>
    </xf>
    <xf numFmtId="0" fontId="4" fillId="5" borderId="8" xfId="0" applyFont="1" applyFill="1" applyBorder="1" applyAlignment="1">
      <alignment horizontal="left"/>
    </xf>
    <xf numFmtId="187" fontId="4" fillId="5" borderId="8" xfId="0" applyNumberFormat="1" applyFont="1" applyFill="1" applyBorder="1" applyAlignment="1">
      <alignment horizontal="left"/>
    </xf>
    <xf numFmtId="169" fontId="4" fillId="5" borderId="11" xfId="0" applyNumberFormat="1" applyFont="1" applyFill="1" applyBorder="1" applyAlignment="1">
      <alignment horizontal="right"/>
    </xf>
    <xf numFmtId="169" fontId="4" fillId="5" borderId="14" xfId="0" applyNumberFormat="1" applyFont="1" applyFill="1" applyBorder="1" applyAlignment="1">
      <alignment horizontal="right"/>
    </xf>
    <xf numFmtId="9" fontId="20" fillId="5" borderId="8" xfId="7" applyFont="1" applyFill="1" applyBorder="1" applyAlignment="1">
      <alignment horizontal="right"/>
    </xf>
    <xf numFmtId="166" fontId="0" fillId="5" borderId="8" xfId="6" applyNumberFormat="1" applyFont="1" applyFill="1" applyBorder="1"/>
    <xf numFmtId="9" fontId="0" fillId="5" borderId="8" xfId="7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0" borderId="23" xfId="0" applyFont="1" applyBorder="1"/>
    <xf numFmtId="169" fontId="0" fillId="0" borderId="0" xfId="0" applyNumberFormat="1" applyFont="1"/>
    <xf numFmtId="169" fontId="0" fillId="0" borderId="8" xfId="0" applyNumberFormat="1" applyFont="1" applyBorder="1"/>
    <xf numFmtId="166" fontId="0" fillId="0" borderId="0" xfId="0" applyNumberFormat="1" applyFont="1"/>
    <xf numFmtId="0" fontId="0" fillId="5" borderId="8" xfId="0" applyFont="1" applyFill="1" applyBorder="1"/>
    <xf numFmtId="169" fontId="0" fillId="0" borderId="0" xfId="0" applyNumberFormat="1" applyFont="1" applyAlignment="1">
      <alignment horizontal="right"/>
    </xf>
    <xf numFmtId="169" fontId="0" fillId="5" borderId="8" xfId="0" applyNumberFormat="1" applyFont="1" applyFill="1" applyBorder="1" applyAlignment="1">
      <alignment horizontal="right"/>
    </xf>
    <xf numFmtId="0" fontId="0" fillId="0" borderId="0" xfId="0" quotePrefix="1" applyFont="1"/>
    <xf numFmtId="169" fontId="0" fillId="0" borderId="0" xfId="0" applyNumberFormat="1" applyFont="1" applyFill="1" applyAlignment="1">
      <alignment horizontal="right"/>
    </xf>
    <xf numFmtId="169" fontId="0" fillId="5" borderId="0" xfId="0" applyNumberFormat="1" applyFont="1" applyFill="1" applyAlignment="1">
      <alignment horizontal="right"/>
    </xf>
    <xf numFmtId="170" fontId="0" fillId="0" borderId="0" xfId="0" applyNumberFormat="1" applyFont="1"/>
    <xf numFmtId="43" fontId="0" fillId="0" borderId="0" xfId="0" applyNumberFormat="1" applyFont="1"/>
    <xf numFmtId="0" fontId="0" fillId="0" borderId="6" xfId="0" applyFont="1" applyBorder="1"/>
    <xf numFmtId="0" fontId="0" fillId="5" borderId="9" xfId="0" applyFont="1" applyFill="1" applyBorder="1"/>
    <xf numFmtId="43" fontId="0" fillId="5" borderId="8" xfId="0" applyNumberFormat="1" applyFont="1" applyFill="1" applyBorder="1"/>
    <xf numFmtId="166" fontId="14" fillId="0" borderId="0" xfId="6" applyNumberFormat="1" applyFont="1"/>
    <xf numFmtId="166" fontId="14" fillId="5" borderId="8" xfId="6" applyNumberFormat="1" applyFont="1" applyFill="1" applyBorder="1"/>
    <xf numFmtId="166" fontId="16" fillId="0" borderId="3" xfId="6" applyNumberFormat="1" applyFont="1" applyBorder="1"/>
    <xf numFmtId="166" fontId="16" fillId="5" borderId="11" xfId="6" applyNumberFormat="1" applyFont="1" applyFill="1" applyBorder="1"/>
    <xf numFmtId="166" fontId="16" fillId="0" borderId="5" xfId="6" applyNumberFormat="1" applyFont="1" applyBorder="1"/>
    <xf numFmtId="166" fontId="16" fillId="5" borderId="14" xfId="6" applyNumberFormat="1" applyFont="1" applyFill="1" applyBorder="1"/>
    <xf numFmtId="166" fontId="14" fillId="0" borderId="0" xfId="6" applyNumberFormat="1" applyFont="1" applyBorder="1"/>
    <xf numFmtId="166" fontId="4" fillId="0" borderId="3" xfId="6" applyNumberFormat="1" applyFont="1" applyBorder="1"/>
    <xf numFmtId="166" fontId="4" fillId="0" borderId="4" xfId="6" applyNumberFormat="1" applyFont="1" applyBorder="1"/>
    <xf numFmtId="166" fontId="4" fillId="5" borderId="12" xfId="6" applyNumberFormat="1" applyFont="1" applyFill="1" applyBorder="1"/>
    <xf numFmtId="166" fontId="16" fillId="0" borderId="4" xfId="6" applyNumberFormat="1" applyFont="1" applyBorder="1"/>
    <xf numFmtId="166" fontId="4" fillId="0" borderId="0" xfId="6" applyNumberFormat="1" applyFont="1" applyBorder="1"/>
    <xf numFmtId="166" fontId="4" fillId="5" borderId="8" xfId="6" applyNumberFormat="1" applyFont="1" applyFill="1" applyBorder="1"/>
    <xf numFmtId="166" fontId="16" fillId="0" borderId="0" xfId="6" applyNumberFormat="1" applyFont="1" applyBorder="1"/>
    <xf numFmtId="166" fontId="4" fillId="0" borderId="5" xfId="6" applyNumberFormat="1" applyFont="1" applyBorder="1"/>
    <xf numFmtId="166" fontId="4" fillId="5" borderId="14" xfId="6" applyNumberFormat="1" applyFont="1" applyFill="1" applyBorder="1"/>
    <xf numFmtId="166" fontId="16" fillId="0" borderId="6" xfId="6" applyNumberFormat="1" applyFont="1" applyBorder="1"/>
    <xf numFmtId="166" fontId="4" fillId="0" borderId="0" xfId="6" applyNumberFormat="1" applyFont="1"/>
    <xf numFmtId="166" fontId="16" fillId="0" borderId="0" xfId="6" applyNumberFormat="1" applyFont="1"/>
    <xf numFmtId="0" fontId="4" fillId="8" borderId="3" xfId="0" applyFont="1" applyFill="1" applyBorder="1"/>
    <xf numFmtId="166" fontId="4" fillId="8" borderId="3" xfId="6" applyNumberFormat="1" applyFont="1" applyFill="1" applyBorder="1"/>
    <xf numFmtId="166" fontId="4" fillId="5" borderId="11" xfId="6" applyNumberFormat="1" applyFont="1" applyFill="1" applyBorder="1"/>
    <xf numFmtId="166" fontId="16" fillId="8" borderId="3" xfId="6" applyNumberFormat="1" applyFont="1" applyFill="1" applyBorder="1"/>
    <xf numFmtId="166" fontId="4" fillId="0" borderId="0" xfId="6" applyNumberFormat="1" applyFont="1" applyFill="1" applyBorder="1"/>
    <xf numFmtId="166" fontId="16" fillId="0" borderId="0" xfId="6" applyNumberFormat="1" applyFont="1" applyFill="1" applyBorder="1"/>
    <xf numFmtId="166" fontId="17" fillId="0" borderId="0" xfId="6" applyNumberFormat="1" applyFont="1" applyFill="1" applyBorder="1"/>
    <xf numFmtId="0" fontId="28" fillId="9" borderId="15" xfId="0" applyFont="1" applyFill="1" applyBorder="1" applyAlignment="1">
      <alignment horizontal="left" indent="2"/>
    </xf>
    <xf numFmtId="0" fontId="38" fillId="9" borderId="16" xfId="0" applyFont="1" applyFill="1" applyBorder="1" applyAlignment="1">
      <alignment horizontal="left" indent="2"/>
    </xf>
    <xf numFmtId="0" fontId="28" fillId="9" borderId="3" xfId="0" applyFont="1" applyFill="1" applyBorder="1" applyAlignment="1">
      <alignment horizontal="left" indent="2"/>
    </xf>
    <xf numFmtId="166" fontId="14" fillId="0" borderId="3" xfId="6" applyNumberFormat="1" applyFont="1" applyBorder="1"/>
    <xf numFmtId="166" fontId="14" fillId="5" borderId="11" xfId="6" applyNumberFormat="1" applyFont="1" applyFill="1" applyBorder="1"/>
    <xf numFmtId="166" fontId="15" fillId="0" borderId="3" xfId="6" applyNumberFormat="1" applyFont="1" applyBorder="1"/>
    <xf numFmtId="165" fontId="14" fillId="5" borderId="8" xfId="7" applyNumberFormat="1" applyFont="1" applyFill="1" applyBorder="1"/>
    <xf numFmtId="166" fontId="16" fillId="5" borderId="8" xfId="6" applyNumberFormat="1" applyFont="1" applyFill="1" applyBorder="1"/>
    <xf numFmtId="0" fontId="38" fillId="9" borderId="25" xfId="0" applyFont="1" applyFill="1" applyBorder="1" applyAlignment="1">
      <alignment horizontal="left"/>
    </xf>
    <xf numFmtId="0" fontId="28" fillId="9" borderId="25" xfId="0" applyFont="1" applyFill="1" applyBorder="1" applyAlignment="1">
      <alignment horizontal="left" indent="2"/>
    </xf>
    <xf numFmtId="0" fontId="28" fillId="9" borderId="24" xfId="0" applyFont="1" applyFill="1" applyBorder="1" applyAlignment="1">
      <alignment horizontal="left" indent="2"/>
    </xf>
    <xf numFmtId="0" fontId="28" fillId="9" borderId="26" xfId="0" applyFont="1" applyFill="1" applyBorder="1" applyAlignment="1">
      <alignment horizontal="left" indent="2"/>
    </xf>
    <xf numFmtId="0" fontId="28" fillId="9" borderId="27" xfId="0" applyFont="1" applyFill="1" applyBorder="1" applyAlignment="1">
      <alignment horizontal="left" indent="2"/>
    </xf>
    <xf numFmtId="0" fontId="38" fillId="9" borderId="26" xfId="0" applyFont="1" applyFill="1" applyBorder="1" applyAlignment="1">
      <alignment horizontal="left"/>
    </xf>
    <xf numFmtId="169" fontId="40" fillId="14" borderId="0" xfId="0" applyNumberFormat="1" applyFont="1" applyFill="1" applyAlignment="1">
      <alignment horizontal="right"/>
    </xf>
    <xf numFmtId="9" fontId="0" fillId="5" borderId="8" xfId="7" applyFont="1" applyFill="1" applyBorder="1" applyAlignment="1">
      <alignment horizontal="right"/>
    </xf>
    <xf numFmtId="0" fontId="1" fillId="0" borderId="0" xfId="11"/>
    <xf numFmtId="169" fontId="41" fillId="14" borderId="0" xfId="0" applyNumberFormat="1" applyFont="1" applyFill="1" applyAlignment="1">
      <alignment horizontal="right"/>
    </xf>
    <xf numFmtId="0" fontId="8" fillId="0" borderId="0" xfId="11" applyFont="1" applyBorder="1"/>
    <xf numFmtId="166" fontId="32" fillId="0" borderId="18" xfId="12" applyNumberFormat="1" applyFont="1" applyFill="1" applyBorder="1" applyAlignment="1">
      <alignment horizontal="right"/>
    </xf>
    <xf numFmtId="166" fontId="32" fillId="0" borderId="0" xfId="12" applyNumberFormat="1" applyFont="1" applyFill="1" applyBorder="1" applyAlignment="1">
      <alignment horizontal="right"/>
    </xf>
    <xf numFmtId="0" fontId="0" fillId="0" borderId="3" xfId="0" applyFont="1" applyBorder="1"/>
    <xf numFmtId="169" fontId="0" fillId="5" borderId="11" xfId="0" applyNumberFormat="1" applyFont="1" applyFill="1" applyBorder="1" applyAlignment="1">
      <alignment horizontal="right"/>
    </xf>
    <xf numFmtId="0" fontId="6" fillId="5" borderId="28" xfId="11" applyFont="1" applyFill="1" applyBorder="1"/>
    <xf numFmtId="0" fontId="6" fillId="5" borderId="29" xfId="11" applyFont="1" applyFill="1" applyBorder="1"/>
    <xf numFmtId="0" fontId="8" fillId="5" borderId="29" xfId="11" applyFont="1" applyFill="1" applyBorder="1"/>
    <xf numFmtId="0" fontId="8" fillId="5" borderId="30" xfId="11" applyFont="1" applyFill="1" applyBorder="1"/>
    <xf numFmtId="0" fontId="31" fillId="5" borderId="4" xfId="11" applyFont="1" applyFill="1" applyBorder="1"/>
    <xf numFmtId="8" fontId="31" fillId="0" borderId="0" xfId="11" applyNumberFormat="1" applyFont="1" applyAlignment="1">
      <alignment horizontal="right"/>
    </xf>
    <xf numFmtId="0" fontId="6" fillId="0" borderId="6" xfId="11" applyFont="1" applyBorder="1"/>
    <xf numFmtId="9" fontId="31" fillId="0" borderId="6" xfId="13" applyFont="1" applyBorder="1" applyAlignment="1">
      <alignment horizontal="right"/>
    </xf>
    <xf numFmtId="0" fontId="6" fillId="0" borderId="3" xfId="11" applyFont="1" applyBorder="1"/>
    <xf numFmtId="168" fontId="6" fillId="0" borderId="3" xfId="11" applyNumberFormat="1" applyFont="1" applyBorder="1"/>
    <xf numFmtId="2" fontId="31" fillId="0" borderId="0" xfId="11" applyNumberFormat="1" applyFont="1" applyAlignment="1">
      <alignment horizontal="right"/>
    </xf>
    <xf numFmtId="168" fontId="6" fillId="0" borderId="0" xfId="11" applyNumberFormat="1" applyFont="1"/>
    <xf numFmtId="6" fontId="32" fillId="0" borderId="4" xfId="11" applyNumberFormat="1" applyFont="1" applyBorder="1" applyAlignment="1">
      <alignment horizontal="right"/>
    </xf>
    <xf numFmtId="14" fontId="6" fillId="0" borderId="0" xfId="11" applyNumberFormat="1" applyFont="1"/>
    <xf numFmtId="2" fontId="8" fillId="0" borderId="4" xfId="11" applyNumberFormat="1" applyFont="1" applyBorder="1"/>
    <xf numFmtId="9" fontId="6" fillId="0" borderId="0" xfId="13" applyFont="1"/>
    <xf numFmtId="9" fontId="0" fillId="0" borderId="0" xfId="7" applyFont="1" applyFill="1" applyAlignment="1">
      <alignment horizontal="right"/>
    </xf>
    <xf numFmtId="9" fontId="20" fillId="5" borderId="8" xfId="7" applyNumberFormat="1" applyFont="1" applyFill="1" applyBorder="1" applyAlignment="1">
      <alignment horizontal="right"/>
    </xf>
    <xf numFmtId="9" fontId="20" fillId="0" borderId="0" xfId="7" applyFont="1" applyFill="1" applyAlignment="1">
      <alignment horizontal="right"/>
    </xf>
    <xf numFmtId="9" fontId="42" fillId="14" borderId="0" xfId="7" applyFont="1" applyFill="1" applyAlignment="1">
      <alignment horizontal="right"/>
    </xf>
    <xf numFmtId="9" fontId="4" fillId="0" borderId="3" xfId="7" applyFont="1" applyBorder="1" applyAlignment="1">
      <alignment horizontal="right"/>
    </xf>
    <xf numFmtId="9" fontId="4" fillId="0" borderId="5" xfId="7" applyFont="1" applyBorder="1" applyAlignment="1">
      <alignment horizontal="right"/>
    </xf>
    <xf numFmtId="9" fontId="41" fillId="14" borderId="0" xfId="7" applyFont="1" applyFill="1" applyAlignment="1">
      <alignment horizontal="right"/>
    </xf>
    <xf numFmtId="169" fontId="41" fillId="14" borderId="8" xfId="0" applyNumberFormat="1" applyFont="1" applyFill="1" applyBorder="1" applyAlignment="1">
      <alignment horizontal="right"/>
    </xf>
    <xf numFmtId="0" fontId="4" fillId="0" borderId="3" xfId="0" applyFont="1" applyFill="1" applyBorder="1"/>
    <xf numFmtId="0" fontId="0" fillId="0" borderId="0" xfId="0" applyFont="1" applyFill="1"/>
    <xf numFmtId="166" fontId="16" fillId="0" borderId="3" xfId="6" applyNumberFormat="1" applyFont="1" applyFill="1" applyBorder="1"/>
    <xf numFmtId="165" fontId="15" fillId="14" borderId="0" xfId="7" applyNumberFormat="1" applyFont="1" applyFill="1"/>
    <xf numFmtId="165" fontId="41" fillId="14" borderId="0" xfId="7" applyNumberFormat="1" applyFont="1" applyFill="1"/>
    <xf numFmtId="165" fontId="41" fillId="0" borderId="0" xfId="7" applyNumberFormat="1" applyFont="1" applyFill="1"/>
    <xf numFmtId="0" fontId="14" fillId="5" borderId="8" xfId="0" applyFont="1" applyFill="1" applyBorder="1"/>
    <xf numFmtId="166" fontId="14" fillId="0" borderId="0" xfId="8" applyNumberFormat="1" applyFont="1" applyFill="1" applyBorder="1"/>
    <xf numFmtId="193" fontId="6" fillId="0" borderId="0" xfId="10" applyNumberFormat="1" applyFont="1"/>
    <xf numFmtId="166" fontId="6" fillId="0" borderId="0" xfId="6" applyNumberFormat="1" applyFont="1"/>
    <xf numFmtId="166" fontId="6" fillId="0" borderId="3" xfId="6" applyNumberFormat="1" applyFont="1" applyBorder="1"/>
    <xf numFmtId="9" fontId="20" fillId="0" borderId="0" xfId="7" applyFont="1"/>
    <xf numFmtId="0" fontId="0" fillId="5" borderId="0" xfId="0" applyFill="1"/>
    <xf numFmtId="0" fontId="43" fillId="0" borderId="0" xfId="11" applyFont="1"/>
    <xf numFmtId="0" fontId="44" fillId="0" borderId="0" xfId="11" applyFont="1"/>
    <xf numFmtId="14" fontId="45" fillId="0" borderId="0" xfId="11" applyNumberFormat="1" applyFont="1" applyAlignment="1">
      <alignment horizontal="left"/>
    </xf>
    <xf numFmtId="0" fontId="44" fillId="0" borderId="0" xfId="11" applyFont="1" applyAlignment="1">
      <alignment horizontal="left"/>
    </xf>
    <xf numFmtId="14" fontId="43" fillId="0" borderId="0" xfId="11" applyNumberFormat="1" applyFont="1" applyAlignment="1">
      <alignment horizontal="left"/>
    </xf>
    <xf numFmtId="14" fontId="46" fillId="0" borderId="0" xfId="11" applyNumberFormat="1" applyFont="1" applyAlignment="1">
      <alignment horizontal="left"/>
    </xf>
    <xf numFmtId="44" fontId="0" fillId="0" borderId="0" xfId="0" applyNumberFormat="1"/>
    <xf numFmtId="44" fontId="4" fillId="0" borderId="3" xfId="0" applyNumberFormat="1" applyFont="1" applyBorder="1"/>
    <xf numFmtId="184" fontId="0" fillId="0" borderId="0" xfId="0" applyNumberFormat="1"/>
    <xf numFmtId="182" fontId="0" fillId="0" borderId="0" xfId="0" applyNumberFormat="1"/>
    <xf numFmtId="182" fontId="4" fillId="0" borderId="3" xfId="0" applyNumberFormat="1" applyFont="1" applyBorder="1"/>
    <xf numFmtId="165" fontId="0" fillId="0" borderId="0" xfId="7" applyNumberFormat="1" applyFont="1"/>
    <xf numFmtId="165" fontId="4" fillId="0" borderId="3" xfId="0" applyNumberFormat="1" applyFont="1" applyBorder="1"/>
    <xf numFmtId="0" fontId="4" fillId="0" borderId="0" xfId="0" applyFont="1" applyFill="1" applyBorder="1"/>
    <xf numFmtId="0" fontId="4" fillId="5" borderId="0" xfId="0" applyFont="1" applyFill="1" applyAlignment="1">
      <alignment horizontal="center" vertical="center" wrapText="1"/>
    </xf>
    <xf numFmtId="0" fontId="4" fillId="0" borderId="6" xfId="0" applyFont="1" applyBorder="1" applyAlignment="1"/>
    <xf numFmtId="0" fontId="4" fillId="0" borderId="32" xfId="0" applyFont="1" applyFill="1" applyBorder="1" applyAlignment="1">
      <alignment horizontal="left" wrapText="1"/>
    </xf>
    <xf numFmtId="0" fontId="4" fillId="0" borderId="33" xfId="0" applyFont="1" applyFill="1" applyBorder="1" applyAlignment="1">
      <alignment horizontal="left" wrapText="1"/>
    </xf>
    <xf numFmtId="9" fontId="4" fillId="0" borderId="34" xfId="7" applyFont="1" applyBorder="1" applyAlignment="1">
      <alignment vertical="center"/>
    </xf>
    <xf numFmtId="165" fontId="20" fillId="0" borderId="0" xfId="7" applyNumberFormat="1" applyFont="1" applyAlignment="1">
      <alignment horizontal="right"/>
    </xf>
    <xf numFmtId="192" fontId="19" fillId="0" borderId="0" xfId="0" applyNumberFormat="1" applyFont="1" applyFill="1" applyAlignment="1">
      <alignment horizontal="right"/>
    </xf>
    <xf numFmtId="196" fontId="32" fillId="0" borderId="8" xfId="13" applyNumberFormat="1" applyFont="1" applyBorder="1"/>
    <xf numFmtId="196" fontId="32" fillId="0" borderId="4" xfId="13" applyNumberFormat="1" applyFont="1" applyBorder="1"/>
    <xf numFmtId="0" fontId="47" fillId="14" borderId="0" xfId="11" applyFont="1" applyFill="1"/>
    <xf numFmtId="196" fontId="32" fillId="0" borderId="4" xfId="11" applyNumberFormat="1" applyFont="1" applyBorder="1"/>
    <xf numFmtId="4" fontId="31" fillId="0" borderId="35" xfId="12" applyNumberFormat="1" applyFont="1" applyBorder="1"/>
    <xf numFmtId="165" fontId="31" fillId="0" borderId="35" xfId="13" applyNumberFormat="1" applyFont="1" applyBorder="1"/>
    <xf numFmtId="0" fontId="18" fillId="7" borderId="0" xfId="0" applyFont="1" applyFill="1" applyAlignment="1">
      <alignment vertical="center"/>
    </xf>
    <xf numFmtId="0" fontId="0" fillId="0" borderId="44" xfId="0" applyBorder="1" applyAlignment="1">
      <alignment vertical="center"/>
    </xf>
    <xf numFmtId="16" fontId="0" fillId="0" borderId="44" xfId="0" quotePrefix="1" applyNumberFormat="1" applyBorder="1" applyAlignment="1">
      <alignment vertical="center"/>
    </xf>
    <xf numFmtId="0" fontId="0" fillId="0" borderId="44" xfId="0" applyBorder="1" applyAlignment="1">
      <alignment vertical="center" wrapText="1"/>
    </xf>
    <xf numFmtId="0" fontId="0" fillId="0" borderId="45" xfId="0" applyBorder="1" applyAlignment="1">
      <alignment vertical="center"/>
    </xf>
    <xf numFmtId="16" fontId="0" fillId="0" borderId="45" xfId="0" quotePrefix="1" applyNumberFormat="1" applyBorder="1" applyAlignment="1">
      <alignment vertical="center"/>
    </xf>
    <xf numFmtId="0" fontId="0" fillId="0" borderId="45" xfId="0" applyBorder="1" applyAlignment="1">
      <alignment vertical="center" wrapText="1"/>
    </xf>
    <xf numFmtId="0" fontId="0" fillId="0" borderId="46" xfId="0" applyBorder="1" applyAlignment="1">
      <alignment vertical="center"/>
    </xf>
    <xf numFmtId="16" fontId="0" fillId="0" borderId="46" xfId="0" quotePrefix="1" applyNumberFormat="1" applyBorder="1" applyAlignment="1">
      <alignment vertical="center"/>
    </xf>
    <xf numFmtId="0" fontId="0" fillId="0" borderId="46" xfId="0" applyBorder="1" applyAlignment="1">
      <alignment vertical="center" wrapText="1"/>
    </xf>
    <xf numFmtId="9" fontId="20" fillId="0" borderId="0" xfId="7" applyNumberFormat="1" applyFont="1" applyAlignment="1">
      <alignment horizontal="right"/>
    </xf>
    <xf numFmtId="0" fontId="37" fillId="15" borderId="0" xfId="0" applyFont="1" applyFill="1"/>
    <xf numFmtId="0" fontId="20" fillId="15" borderId="0" xfId="0" applyFont="1" applyFill="1"/>
    <xf numFmtId="0" fontId="20" fillId="15" borderId="8" xfId="0" applyFont="1" applyFill="1" applyBorder="1"/>
    <xf numFmtId="167" fontId="20" fillId="15" borderId="0" xfId="0" applyNumberFormat="1" applyFont="1" applyFill="1"/>
    <xf numFmtId="0" fontId="8" fillId="5" borderId="47" xfId="11" applyFont="1" applyFill="1" applyBorder="1" applyAlignment="1">
      <alignment horizontal="right" wrapText="1"/>
    </xf>
    <xf numFmtId="0" fontId="6" fillId="0" borderId="48" xfId="11" applyFont="1" applyBorder="1"/>
    <xf numFmtId="166" fontId="6" fillId="0" borderId="48" xfId="12" applyNumberFormat="1" applyFont="1" applyBorder="1" applyAlignment="1">
      <alignment horizontal="right"/>
    </xf>
    <xf numFmtId="9" fontId="30" fillId="0" borderId="48" xfId="11" applyNumberFormat="1" applyFont="1" applyBorder="1" applyAlignment="1">
      <alignment horizontal="right"/>
    </xf>
    <xf numFmtId="0" fontId="6" fillId="0" borderId="48" xfId="11" applyFont="1" applyBorder="1" applyAlignment="1">
      <alignment horizontal="right"/>
    </xf>
    <xf numFmtId="9" fontId="7" fillId="0" borderId="48" xfId="13" applyFont="1" applyBorder="1" applyAlignment="1">
      <alignment horizontal="right"/>
    </xf>
    <xf numFmtId="166" fontId="31" fillId="0" borderId="48" xfId="12" applyNumberFormat="1" applyFont="1" applyFill="1" applyBorder="1" applyAlignment="1">
      <alignment horizontal="right"/>
    </xf>
    <xf numFmtId="166" fontId="32" fillId="0" borderId="47" xfId="12" applyNumberFormat="1" applyFont="1" applyFill="1" applyBorder="1" applyAlignment="1">
      <alignment horizontal="right"/>
    </xf>
    <xf numFmtId="166" fontId="32" fillId="0" borderId="48" xfId="12" applyNumberFormat="1" applyFont="1" applyFill="1" applyBorder="1" applyAlignment="1">
      <alignment horizontal="right"/>
    </xf>
    <xf numFmtId="43" fontId="33" fillId="0" borderId="48" xfId="12" applyFont="1" applyBorder="1" applyAlignment="1">
      <alignment horizontal="right"/>
    </xf>
    <xf numFmtId="166" fontId="7" fillId="0" borderId="48" xfId="12" applyNumberFormat="1" applyFont="1" applyBorder="1" applyAlignment="1">
      <alignment horizontal="right"/>
    </xf>
    <xf numFmtId="14" fontId="47" fillId="14" borderId="0" xfId="11" applyNumberFormat="1" applyFont="1" applyFill="1"/>
    <xf numFmtId="9" fontId="47" fillId="14" borderId="0" xfId="11" applyNumberFormat="1" applyFont="1" applyFill="1"/>
    <xf numFmtId="165" fontId="47" fillId="14" borderId="0" xfId="11" applyNumberFormat="1" applyFont="1" applyFill="1"/>
    <xf numFmtId="165" fontId="31" fillId="0" borderId="0" xfId="11" applyNumberFormat="1" applyFont="1"/>
    <xf numFmtId="9" fontId="4" fillId="5" borderId="11" xfId="7" applyFont="1" applyFill="1" applyBorder="1" applyAlignment="1">
      <alignment horizontal="right"/>
    </xf>
    <xf numFmtId="9" fontId="4" fillId="5" borderId="14" xfId="7" applyFont="1" applyFill="1" applyBorder="1" applyAlignment="1">
      <alignment horizontal="right"/>
    </xf>
    <xf numFmtId="169" fontId="20" fillId="5" borderId="8" xfId="0" applyNumberFormat="1" applyFont="1" applyFill="1" applyBorder="1" applyAlignment="1">
      <alignment horizontal="right"/>
    </xf>
    <xf numFmtId="169" fontId="20" fillId="0" borderId="0" xfId="0" applyNumberFormat="1" applyFont="1" applyAlignment="1">
      <alignment horizontal="right"/>
    </xf>
    <xf numFmtId="4" fontId="41" fillId="14" borderId="0" xfId="0" applyNumberFormat="1" applyFont="1" applyFill="1" applyAlignment="1">
      <alignment horizontal="right"/>
    </xf>
    <xf numFmtId="192" fontId="42" fillId="14" borderId="0" xfId="0" applyNumberFormat="1" applyFont="1" applyFill="1" applyAlignment="1">
      <alignment horizontal="right"/>
    </xf>
    <xf numFmtId="192" fontId="19" fillId="5" borderId="8" xfId="0" applyNumberFormat="1" applyFont="1" applyFill="1" applyBorder="1" applyAlignment="1">
      <alignment horizontal="right"/>
    </xf>
    <xf numFmtId="8" fontId="48" fillId="0" borderId="2" xfId="0" applyNumberFormat="1" applyFont="1" applyBorder="1" applyAlignment="1">
      <alignment horizontal="left"/>
    </xf>
    <xf numFmtId="14" fontId="47" fillId="0" borderId="0" xfId="11" applyNumberFormat="1" applyFont="1"/>
    <xf numFmtId="0" fontId="47" fillId="0" borderId="0" xfId="11" applyFont="1"/>
    <xf numFmtId="8" fontId="47" fillId="0" borderId="0" xfId="11" applyNumberFormat="1" applyFont="1"/>
    <xf numFmtId="2" fontId="47" fillId="0" borderId="0" xfId="11" applyNumberFormat="1" applyFont="1"/>
    <xf numFmtId="168" fontId="47" fillId="0" borderId="0" xfId="11" applyNumberFormat="1" applyFont="1"/>
    <xf numFmtId="166" fontId="47" fillId="0" borderId="0" xfId="12" applyNumberFormat="1" applyFont="1" applyAlignment="1">
      <alignment horizontal="right"/>
    </xf>
    <xf numFmtId="0" fontId="0" fillId="0" borderId="0" xfId="0" applyFont="1" applyBorder="1"/>
    <xf numFmtId="0" fontId="39" fillId="9" borderId="25" xfId="0" applyFont="1" applyFill="1" applyBorder="1" applyAlignment="1">
      <alignment horizontal="left" indent="2"/>
    </xf>
    <xf numFmtId="0" fontId="38" fillId="9" borderId="25" xfId="0" applyFont="1" applyFill="1" applyBorder="1" applyAlignment="1">
      <alignment horizontal="left" indent="2"/>
    </xf>
    <xf numFmtId="0" fontId="28" fillId="9" borderId="25" xfId="0" applyFont="1" applyFill="1" applyBorder="1" applyAlignment="1">
      <alignment horizontal="left" wrapText="1" indent="2"/>
    </xf>
    <xf numFmtId="0" fontId="4" fillId="0" borderId="0" xfId="11" applyFont="1"/>
    <xf numFmtId="0" fontId="5" fillId="0" borderId="0" xfId="11" applyFont="1"/>
    <xf numFmtId="0" fontId="14" fillId="10" borderId="0" xfId="11" applyFont="1" applyFill="1"/>
    <xf numFmtId="0" fontId="14" fillId="5" borderId="0" xfId="11" applyFont="1" applyFill="1"/>
    <xf numFmtId="0" fontId="16" fillId="5" borderId="0" xfId="11" applyFont="1" applyFill="1" applyAlignment="1">
      <alignment horizontal="centerContinuous" wrapText="1"/>
    </xf>
    <xf numFmtId="0" fontId="14" fillId="5" borderId="0" xfId="11" applyFont="1" applyFill="1" applyAlignment="1">
      <alignment horizontal="centerContinuous" wrapText="1"/>
    </xf>
    <xf numFmtId="0" fontId="14" fillId="5" borderId="36" xfId="11" applyFont="1" applyFill="1" applyBorder="1"/>
    <xf numFmtId="0" fontId="16" fillId="5" borderId="37" xfId="11" applyFont="1" applyFill="1" applyBorder="1" applyAlignment="1">
      <alignment horizontal="center"/>
    </xf>
    <xf numFmtId="0" fontId="16" fillId="0" borderId="0" xfId="11" applyFont="1"/>
    <xf numFmtId="0" fontId="14" fillId="0" borderId="0" xfId="11" applyFont="1"/>
    <xf numFmtId="10" fontId="14" fillId="0" borderId="0" xfId="11" applyNumberFormat="1" applyFont="1"/>
    <xf numFmtId="172" fontId="14" fillId="0" borderId="0" xfId="12" applyNumberFormat="1" applyFont="1"/>
    <xf numFmtId="0" fontId="19" fillId="0" borderId="0" xfId="11" applyFont="1"/>
    <xf numFmtId="0" fontId="14" fillId="0" borderId="0" xfId="11" applyFont="1" applyAlignment="1">
      <alignment horizontal="left" indent="2"/>
    </xf>
    <xf numFmtId="10" fontId="14" fillId="0" borderId="38" xfId="11" applyNumberFormat="1" applyFont="1" applyBorder="1"/>
    <xf numFmtId="10" fontId="16" fillId="0" borderId="38" xfId="11" applyNumberFormat="1" applyFont="1" applyBorder="1"/>
    <xf numFmtId="0" fontId="5" fillId="3" borderId="0" xfId="11" applyFont="1" applyFill="1" applyBorder="1"/>
    <xf numFmtId="0" fontId="4" fillId="3" borderId="0" xfId="11" quotePrefix="1" applyFont="1" applyFill="1" applyBorder="1" applyAlignment="1">
      <alignment horizontal="right"/>
    </xf>
    <xf numFmtId="10" fontId="16" fillId="0" borderId="0" xfId="11" applyNumberFormat="1" applyFont="1"/>
    <xf numFmtId="0" fontId="4" fillId="0" borderId="32" xfId="11" applyFont="1" applyBorder="1"/>
    <xf numFmtId="0" fontId="4" fillId="0" borderId="33" xfId="11" applyFont="1" applyBorder="1"/>
    <xf numFmtId="10" fontId="4" fillId="0" borderId="34" xfId="7" applyNumberFormat="1" applyFont="1" applyBorder="1"/>
    <xf numFmtId="0" fontId="16" fillId="5" borderId="19" xfId="11" applyFont="1" applyFill="1" applyBorder="1"/>
    <xf numFmtId="0" fontId="16" fillId="5" borderId="4" xfId="11" applyFont="1" applyFill="1" applyBorder="1"/>
    <xf numFmtId="10" fontId="16" fillId="5" borderId="4" xfId="11" applyNumberFormat="1" applyFont="1" applyFill="1" applyBorder="1"/>
    <xf numFmtId="10" fontId="16" fillId="5" borderId="20" xfId="11" applyNumberFormat="1" applyFont="1" applyFill="1" applyBorder="1"/>
    <xf numFmtId="10" fontId="5" fillId="0" borderId="0" xfId="11" applyNumberFormat="1" applyFont="1"/>
    <xf numFmtId="10" fontId="4" fillId="0" borderId="0" xfId="11" applyNumberFormat="1" applyFont="1"/>
    <xf numFmtId="0" fontId="4" fillId="0" borderId="6" xfId="11" applyFont="1" applyBorder="1"/>
    <xf numFmtId="9" fontId="5" fillId="0" borderId="0" xfId="13" applyFont="1"/>
    <xf numFmtId="0" fontId="5" fillId="0" borderId="19" xfId="11" applyFont="1" applyBorder="1"/>
    <xf numFmtId="0" fontId="5" fillId="0" borderId="4" xfId="11" applyFont="1" applyBorder="1"/>
    <xf numFmtId="9" fontId="49" fillId="0" borderId="20" xfId="11" applyNumberFormat="1" applyFont="1" applyBorder="1"/>
    <xf numFmtId="0" fontId="5" fillId="5" borderId="0" xfId="11" applyFont="1" applyFill="1"/>
    <xf numFmtId="0" fontId="4" fillId="5" borderId="36" xfId="11" applyFont="1" applyFill="1" applyBorder="1" applyAlignment="1">
      <alignment horizontal="centerContinuous"/>
    </xf>
    <xf numFmtId="0" fontId="5" fillId="5" borderId="36" xfId="11" applyFont="1" applyFill="1" applyBorder="1" applyAlignment="1">
      <alignment horizontal="centerContinuous"/>
    </xf>
    <xf numFmtId="0" fontId="4" fillId="5" borderId="37" xfId="11" applyFont="1" applyFill="1" applyBorder="1" applyAlignment="1">
      <alignment horizontal="centerContinuous" vertical="center" wrapText="1"/>
    </xf>
    <xf numFmtId="0" fontId="4" fillId="5" borderId="37" xfId="11" applyFont="1" applyFill="1" applyBorder="1" applyAlignment="1">
      <alignment horizontal="centerContinuous" vertical="center"/>
    </xf>
    <xf numFmtId="0" fontId="4" fillId="5" borderId="0" xfId="11" applyFont="1" applyFill="1" applyAlignment="1">
      <alignment horizontal="center" vertical="center" wrapText="1"/>
    </xf>
    <xf numFmtId="0" fontId="4" fillId="5" borderId="36" xfId="11" applyFont="1" applyFill="1" applyBorder="1" applyAlignment="1">
      <alignment horizontal="centerContinuous" vertical="center"/>
    </xf>
    <xf numFmtId="0" fontId="5" fillId="5" borderId="0" xfId="11" applyFont="1" applyFill="1" applyAlignment="1">
      <alignment horizontal="center"/>
    </xf>
    <xf numFmtId="0" fontId="4" fillId="5" borderId="0" xfId="11" applyFont="1" applyFill="1" applyAlignment="1">
      <alignment horizontal="center"/>
    </xf>
    <xf numFmtId="172" fontId="5" fillId="0" borderId="0" xfId="12" applyNumberFormat="1" applyFont="1"/>
    <xf numFmtId="172" fontId="5" fillId="0" borderId="0" xfId="12" applyNumberFormat="1" applyFont="1" applyFill="1"/>
    <xf numFmtId="166" fontId="5" fillId="0" borderId="0" xfId="12" applyNumberFormat="1" applyFont="1"/>
    <xf numFmtId="165" fontId="5" fillId="0" borderId="0" xfId="13" applyNumberFormat="1" applyFont="1"/>
    <xf numFmtId="0" fontId="18" fillId="2" borderId="0" xfId="11" applyFont="1" applyFill="1"/>
    <xf numFmtId="172" fontId="18" fillId="2" borderId="0" xfId="12" applyNumberFormat="1" applyFont="1" applyFill="1"/>
    <xf numFmtId="166" fontId="18" fillId="2" borderId="0" xfId="12" applyNumberFormat="1" applyFont="1" applyFill="1"/>
    <xf numFmtId="0" fontId="4" fillId="0" borderId="39" xfId="11" applyFont="1" applyBorder="1"/>
    <xf numFmtId="0" fontId="4" fillId="0" borderId="38" xfId="11" applyFont="1" applyBorder="1"/>
    <xf numFmtId="172" fontId="4" fillId="0" borderId="38" xfId="12" applyNumberFormat="1" applyFont="1" applyBorder="1"/>
    <xf numFmtId="166" fontId="4" fillId="0" borderId="38" xfId="12" applyNumberFormat="1" applyFont="1" applyBorder="1"/>
    <xf numFmtId="9" fontId="4" fillId="0" borderId="38" xfId="13" applyFont="1" applyBorder="1"/>
    <xf numFmtId="0" fontId="4" fillId="0" borderId="41" xfId="11" applyFont="1" applyBorder="1"/>
    <xf numFmtId="0" fontId="4" fillId="0" borderId="36" xfId="11" applyFont="1" applyBorder="1"/>
    <xf numFmtId="172" fontId="4" fillId="0" borderId="36" xfId="12" applyNumberFormat="1" applyFont="1" applyBorder="1"/>
    <xf numFmtId="166" fontId="4" fillId="0" borderId="36" xfId="12" applyNumberFormat="1" applyFont="1" applyBorder="1"/>
    <xf numFmtId="9" fontId="4" fillId="0" borderId="36" xfId="13" applyFont="1" applyBorder="1"/>
    <xf numFmtId="172" fontId="4" fillId="0" borderId="42" xfId="12" applyNumberFormat="1" applyFont="1" applyBorder="1"/>
    <xf numFmtId="0" fontId="5" fillId="5" borderId="10" xfId="11" applyFont="1" applyFill="1" applyBorder="1"/>
    <xf numFmtId="0" fontId="5" fillId="5" borderId="3" xfId="11" applyFont="1" applyFill="1" applyBorder="1"/>
    <xf numFmtId="172" fontId="5" fillId="5" borderId="3" xfId="12" applyNumberFormat="1" applyFont="1" applyFill="1" applyBorder="1"/>
    <xf numFmtId="166" fontId="5" fillId="5" borderId="3" xfId="12" applyNumberFormat="1" applyFont="1" applyFill="1" applyBorder="1"/>
    <xf numFmtId="0" fontId="50" fillId="5" borderId="3" xfId="11" applyFont="1" applyFill="1" applyBorder="1" applyAlignment="1">
      <alignment horizontal="center"/>
    </xf>
    <xf numFmtId="0" fontId="50" fillId="5" borderId="13" xfId="11" applyFont="1" applyFill="1" applyBorder="1" applyAlignment="1">
      <alignment horizontal="center"/>
    </xf>
    <xf numFmtId="0" fontId="5" fillId="5" borderId="21" xfId="11" applyFont="1" applyFill="1" applyBorder="1"/>
    <xf numFmtId="172" fontId="5" fillId="5" borderId="0" xfId="12" applyNumberFormat="1" applyFont="1" applyFill="1" applyBorder="1"/>
    <xf numFmtId="166" fontId="5" fillId="5" borderId="0" xfId="12" applyNumberFormat="1" applyFont="1" applyFill="1" applyBorder="1"/>
    <xf numFmtId="172" fontId="5" fillId="5" borderId="0" xfId="11" applyNumberFormat="1" applyFont="1" applyFill="1"/>
    <xf numFmtId="172" fontId="5" fillId="5" borderId="31" xfId="11" applyNumberFormat="1" applyFont="1" applyFill="1" applyBorder="1"/>
    <xf numFmtId="9" fontId="5" fillId="5" borderId="0" xfId="11" applyNumberFormat="1" applyFont="1" applyFill="1"/>
    <xf numFmtId="9" fontId="5" fillId="5" borderId="31" xfId="11" applyNumberFormat="1" applyFont="1" applyFill="1" applyBorder="1"/>
    <xf numFmtId="0" fontId="5" fillId="5" borderId="22" xfId="11" applyFont="1" applyFill="1" applyBorder="1"/>
    <xf numFmtId="0" fontId="5" fillId="5" borderId="6" xfId="11" applyFont="1" applyFill="1" applyBorder="1"/>
    <xf numFmtId="172" fontId="5" fillId="5" borderId="6" xfId="12" applyNumberFormat="1" applyFont="1" applyFill="1" applyBorder="1"/>
    <xf numFmtId="166" fontId="5" fillId="5" borderId="6" xfId="12" applyNumberFormat="1" applyFont="1" applyFill="1" applyBorder="1"/>
    <xf numFmtId="43" fontId="5" fillId="5" borderId="6" xfId="11" applyNumberFormat="1" applyFont="1" applyFill="1" applyBorder="1"/>
    <xf numFmtId="43" fontId="5" fillId="5" borderId="43" xfId="11" applyNumberFormat="1" applyFont="1" applyFill="1" applyBorder="1"/>
    <xf numFmtId="172" fontId="4" fillId="0" borderId="40" xfId="12" applyNumberFormat="1" applyFont="1" applyBorder="1"/>
    <xf numFmtId="172" fontId="5" fillId="0" borderId="0" xfId="12" applyNumberFormat="1" applyFont="1" applyFill="1" applyBorder="1"/>
    <xf numFmtId="166" fontId="5" fillId="0" borderId="0" xfId="12" applyNumberFormat="1" applyFont="1" applyFill="1" applyBorder="1"/>
    <xf numFmtId="43" fontId="5" fillId="0" borderId="0" xfId="11" applyNumberFormat="1" applyFont="1"/>
    <xf numFmtId="172" fontId="5" fillId="5" borderId="6" xfId="11" applyNumberFormat="1" applyFont="1" applyFill="1" applyBorder="1"/>
    <xf numFmtId="172" fontId="5" fillId="5" borderId="43" xfId="11" applyNumberFormat="1" applyFont="1" applyFill="1" applyBorder="1"/>
    <xf numFmtId="0" fontId="5" fillId="0" borderId="32" xfId="11" applyFont="1" applyBorder="1"/>
    <xf numFmtId="0" fontId="5" fillId="0" borderId="33" xfId="11" applyFont="1" applyBorder="1"/>
    <xf numFmtId="172" fontId="5" fillId="0" borderId="33" xfId="12" applyNumberFormat="1" applyFont="1" applyBorder="1"/>
    <xf numFmtId="172" fontId="5" fillId="0" borderId="33" xfId="12" applyNumberFormat="1" applyFont="1" applyFill="1" applyBorder="1"/>
    <xf numFmtId="166" fontId="5" fillId="0" borderId="33" xfId="12" applyNumberFormat="1" applyFont="1" applyBorder="1"/>
    <xf numFmtId="9" fontId="5" fillId="0" borderId="33" xfId="13" applyFont="1" applyBorder="1"/>
    <xf numFmtId="172" fontId="5" fillId="0" borderId="34" xfId="12" applyNumberFormat="1" applyFont="1" applyBorder="1"/>
    <xf numFmtId="182" fontId="14" fillId="5" borderId="8" xfId="6" applyNumberFormat="1" applyFont="1" applyFill="1" applyBorder="1"/>
    <xf numFmtId="182" fontId="14" fillId="0" borderId="0" xfId="6" applyNumberFormat="1" applyFont="1"/>
  </cellXfs>
  <cellStyles count="14">
    <cellStyle name="Comma" xfId="6" builtinId="3"/>
    <cellStyle name="Comma 2" xfId="2" xr:uid="{6550E121-E3E5-48BB-97B4-4236925D53B5}"/>
    <cellStyle name="Comma 3" xfId="12" xr:uid="{B74B9218-EAA8-4E6B-BB97-8F36857F5663}"/>
    <cellStyle name="Currency" xfId="10" builtinId="4"/>
    <cellStyle name="Input" xfId="8" builtinId="20"/>
    <cellStyle name="Normal" xfId="0" builtinId="0"/>
    <cellStyle name="Normal 2" xfId="1" xr:uid="{3F1FDD71-3CA2-4BDF-AE6A-82C23752DC4E}"/>
    <cellStyle name="Normal 3" xfId="4" xr:uid="{F54BAB3A-B857-4B61-90D3-ECCDC823145C}"/>
    <cellStyle name="Normal 4" xfId="5" xr:uid="{F35A0EB5-9B19-4B43-B51E-531EC509AE7C}"/>
    <cellStyle name="Normal 5" xfId="9" xr:uid="{ED8F9343-3C00-4009-9A8A-A4322BDBC13C}"/>
    <cellStyle name="Normal 6" xfId="11" xr:uid="{A4A10198-6985-41C8-B829-4ACFB19C2115}"/>
    <cellStyle name="Percent" xfId="7" builtinId="5"/>
    <cellStyle name="Percent 2" xfId="3" xr:uid="{A77190B6-1674-42CF-AE87-81F4805E3852}"/>
    <cellStyle name="Percent 3" xfId="13" xr:uid="{548F828B-7F90-43B9-A0C9-5F608DC5B248}"/>
  </cellStyles>
  <dxfs count="1">
    <dxf>
      <font>
        <color rgb="FFFF0000"/>
      </font>
    </dxf>
  </dxfs>
  <tableStyles count="0" defaultTableStyle="TableStyleMedium2" defaultPivotStyle="PivotStyleLight16"/>
  <colors>
    <mruColors>
      <color rgb="FF0066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9525</xdr:rowOff>
    </xdr:from>
    <xdr:to>
      <xdr:col>15</xdr:col>
      <xdr:colOff>160512</xdr:colOff>
      <xdr:row>29</xdr:row>
      <xdr:rowOff>56601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5512D1-EEC8-4B9F-B5E5-DC1820C27E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914400"/>
          <a:ext cx="11304762" cy="439047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lius-fs1\shared\Research\Aerospace%20&amp;%20Defense\Spingarn%20Initiation\BAH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lius-fs1\shared\Research\Aerospace%20&amp;%20Defense\Spingarn%20Initiation\LDO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lius-fs1\shared\Research\Aerospace%20&amp;%20Defense\Spingarn%20Initiation\CACI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lius-fs1\shared\Research\Aerospace%20&amp;%20Defense\Spingarn%20Initiation\TDG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lius-fs1\shared\Research\Aerospace%20&amp;%20Defense\Spingarn%20Initiation\BA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lius-fs1\shared\Research\Aerospace%20&amp;%20Defense\Spingarn%20Initiation\TXTv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"/>
      <sheetName val="Summary"/>
      <sheetName val="Main Worksheet"/>
      <sheetName val="Valuation"/>
      <sheetName val="Relative PE"/>
      <sheetName val="PEG Trading History"/>
      <sheetName val="PE Trading History"/>
      <sheetName val="FactSet"/>
      <sheetName val="EV.EBITDA Trading History"/>
      <sheetName val="FCF Yield Trading History"/>
    </sheetNames>
    <sheetDataSet>
      <sheetData sheetId="0"/>
      <sheetData sheetId="1">
        <row r="4">
          <cell r="Z4">
            <v>7463.8410000000003</v>
          </cell>
        </row>
      </sheetData>
      <sheetData sheetId="2">
        <row r="2">
          <cell r="A2"/>
          <cell r="B2"/>
          <cell r="C2"/>
          <cell r="D2"/>
          <cell r="E2"/>
          <cell r="F2" t="str">
            <v>FY 16</v>
          </cell>
          <cell r="G2"/>
          <cell r="H2"/>
          <cell r="I2"/>
          <cell r="J2"/>
          <cell r="K2" t="str">
            <v>FY 17</v>
          </cell>
          <cell r="L2" t="str">
            <v>Q1 18</v>
          </cell>
          <cell r="M2" t="str">
            <v>Q2 18</v>
          </cell>
          <cell r="N2" t="str">
            <v>Q3 18</v>
          </cell>
          <cell r="O2" t="str">
            <v>Q4 18</v>
          </cell>
          <cell r="P2" t="str">
            <v>FY 18</v>
          </cell>
          <cell r="Q2" t="str">
            <v>Q1 19</v>
          </cell>
          <cell r="R2" t="str">
            <v>Q2 19</v>
          </cell>
          <cell r="S2" t="str">
            <v>Q3 19</v>
          </cell>
          <cell r="T2" t="str">
            <v>Q4 19</v>
          </cell>
          <cell r="U2" t="str">
            <v>FY 19</v>
          </cell>
          <cell r="V2" t="str">
            <v>Q1 20</v>
          </cell>
          <cell r="W2" t="str">
            <v>Q2 20</v>
          </cell>
          <cell r="X2" t="str">
            <v>Q3 20</v>
          </cell>
          <cell r="Y2" t="str">
            <v>Q4 20</v>
          </cell>
          <cell r="Z2" t="str">
            <v>FY 20</v>
          </cell>
          <cell r="AA2" t="str">
            <v>Q1 21</v>
          </cell>
          <cell r="AB2" t="str">
            <v>Q2 21</v>
          </cell>
          <cell r="AC2" t="str">
            <v>Q3'21</v>
          </cell>
          <cell r="AD2" t="str">
            <v>Q4'21</v>
          </cell>
          <cell r="AE2" t="str">
            <v>FY 21</v>
          </cell>
          <cell r="AF2" t="str">
            <v>Q1 22</v>
          </cell>
          <cell r="AG2" t="str">
            <v>Q2 22</v>
          </cell>
          <cell r="AH2" t="str">
            <v>Q3'22e</v>
          </cell>
          <cell r="AI2" t="str">
            <v>Q4'22e</v>
          </cell>
          <cell r="AJ2" t="str">
            <v>FY 22e</v>
          </cell>
          <cell r="AK2" t="str">
            <v>Q1 23e</v>
          </cell>
          <cell r="AL2" t="str">
            <v>Q2 23e</v>
          </cell>
          <cell r="AM2" t="str">
            <v>Q3'23e</v>
          </cell>
          <cell r="AN2" t="str">
            <v>Q4'23e</v>
          </cell>
          <cell r="AO2" t="str">
            <v>FY 23e</v>
          </cell>
          <cell r="AP2" t="str">
            <v>Q1 24e</v>
          </cell>
          <cell r="AQ2" t="str">
            <v>Q2 24e</v>
          </cell>
          <cell r="AR2" t="str">
            <v>Q3'24e</v>
          </cell>
          <cell r="AS2" t="str">
            <v>Q4'24e</v>
          </cell>
          <cell r="AT2" t="str">
            <v>FY 24e</v>
          </cell>
          <cell r="AU2" t="str">
            <v>Q1 25e</v>
          </cell>
          <cell r="AV2" t="str">
            <v>Q2 25e</v>
          </cell>
          <cell r="AW2" t="str">
            <v>Q3'25e</v>
          </cell>
          <cell r="AX2" t="str">
            <v>Q4'25e</v>
          </cell>
          <cell r="AY2" t="str">
            <v>FY 25e</v>
          </cell>
        </row>
        <row r="3">
          <cell r="A3" t="str">
            <v>Period Ended</v>
          </cell>
          <cell r="F3">
            <v>42460</v>
          </cell>
          <cell r="K3">
            <v>42825</v>
          </cell>
          <cell r="L3">
            <v>42916</v>
          </cell>
          <cell r="M3">
            <v>43008</v>
          </cell>
          <cell r="N3">
            <v>43100</v>
          </cell>
          <cell r="O3">
            <v>43190</v>
          </cell>
          <cell r="P3">
            <v>43190</v>
          </cell>
          <cell r="Q3">
            <v>43281</v>
          </cell>
          <cell r="R3">
            <v>43373</v>
          </cell>
          <cell r="S3">
            <v>43465</v>
          </cell>
          <cell r="T3">
            <v>43555</v>
          </cell>
          <cell r="U3">
            <v>43555</v>
          </cell>
          <cell r="V3">
            <v>43646</v>
          </cell>
          <cell r="W3">
            <v>43738</v>
          </cell>
          <cell r="X3">
            <v>43830</v>
          </cell>
          <cell r="Y3">
            <v>43921</v>
          </cell>
          <cell r="Z3">
            <v>43921</v>
          </cell>
          <cell r="AA3">
            <v>44012</v>
          </cell>
          <cell r="AB3">
            <v>44104</v>
          </cell>
          <cell r="AC3">
            <v>44196</v>
          </cell>
          <cell r="AD3">
            <v>44286</v>
          </cell>
          <cell r="AE3">
            <v>44286</v>
          </cell>
          <cell r="AF3">
            <v>44377</v>
          </cell>
          <cell r="AG3">
            <v>44469</v>
          </cell>
          <cell r="AH3">
            <v>44561</v>
          </cell>
          <cell r="AI3">
            <v>44651</v>
          </cell>
          <cell r="AJ3">
            <v>44651</v>
          </cell>
          <cell r="AK3">
            <v>44742</v>
          </cell>
          <cell r="AL3">
            <v>44834</v>
          </cell>
          <cell r="AM3">
            <v>44926</v>
          </cell>
          <cell r="AN3">
            <v>45016</v>
          </cell>
          <cell r="AO3">
            <v>45016</v>
          </cell>
          <cell r="AP3">
            <v>45107</v>
          </cell>
          <cell r="AQ3">
            <v>45199</v>
          </cell>
          <cell r="AR3">
            <v>45291</v>
          </cell>
          <cell r="AS3">
            <v>45382</v>
          </cell>
          <cell r="AT3">
            <v>45382</v>
          </cell>
          <cell r="AU3">
            <v>45473</v>
          </cell>
          <cell r="AV3">
            <v>45565</v>
          </cell>
          <cell r="AW3">
            <v>45657</v>
          </cell>
          <cell r="AX3">
            <v>45747</v>
          </cell>
          <cell r="AY3">
            <v>45747</v>
          </cell>
        </row>
        <row r="8">
          <cell r="A8" t="str">
            <v>Net sales</v>
          </cell>
          <cell r="F8">
            <v>5405.7380000000003</v>
          </cell>
          <cell r="K8">
            <v>5804.2839999999997</v>
          </cell>
          <cell r="P8">
            <v>6171.8530000000001</v>
          </cell>
          <cell r="U8">
            <v>6704.0370000000003</v>
          </cell>
          <cell r="V8">
            <v>1825.1759999999999</v>
          </cell>
          <cell r="W8">
            <v>1819.577</v>
          </cell>
          <cell r="X8">
            <v>1849.441</v>
          </cell>
          <cell r="Y8">
            <v>1969.6469999999999</v>
          </cell>
          <cell r="Z8">
            <v>7463.8410000000003</v>
          </cell>
          <cell r="AA8">
            <v>1956.453</v>
          </cell>
          <cell r="AB8">
            <v>2019.1849999999999</v>
          </cell>
          <cell r="AC8">
            <v>1904.02</v>
          </cell>
          <cell r="AD8">
            <v>1979.28</v>
          </cell>
          <cell r="AE8">
            <v>7858.9379999999992</v>
          </cell>
          <cell r="AF8">
            <v>1989.066</v>
          </cell>
          <cell r="AG8">
            <v>2106.038</v>
          </cell>
          <cell r="AH8">
            <v>2170.5828000000001</v>
          </cell>
          <cell r="AI8">
            <v>2256.3792000000003</v>
          </cell>
          <cell r="AJ8">
            <v>8522.0660000000007</v>
          </cell>
          <cell r="AO8">
            <v>9118.6106200000013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9756.9133634000027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10439.897298838003</v>
          </cell>
        </row>
        <row r="19">
          <cell r="A19" t="str">
            <v>Gross Profit</v>
          </cell>
          <cell r="B19"/>
          <cell r="C19"/>
          <cell r="D19"/>
          <cell r="E19"/>
          <cell r="F19">
            <v>2825.7120000000004</v>
          </cell>
          <cell r="G19"/>
          <cell r="H19"/>
          <cell r="I19"/>
          <cell r="J19"/>
          <cell r="K19">
            <v>3112.3019999999997</v>
          </cell>
          <cell r="L19"/>
          <cell r="M19"/>
          <cell r="N19"/>
          <cell r="O19"/>
          <cell r="P19">
            <v>3304.75</v>
          </cell>
          <cell r="Q19"/>
          <cell r="R19"/>
          <cell r="S19"/>
          <cell r="T19"/>
          <cell r="U19">
            <v>3603.5710000000004</v>
          </cell>
          <cell r="V19">
            <v>984.52199999999993</v>
          </cell>
          <cell r="W19">
            <v>975.63499999999999</v>
          </cell>
          <cell r="X19">
            <v>1035.941</v>
          </cell>
          <cell r="Y19">
            <v>1088.5630000000001</v>
          </cell>
          <cell r="Z19">
            <v>4084.6610000000005</v>
          </cell>
          <cell r="AA19">
            <v>1007.5509999999999</v>
          </cell>
          <cell r="AB19">
            <v>1076.588</v>
          </cell>
          <cell r="AC19">
            <v>1037.249</v>
          </cell>
          <cell r="AD19">
            <v>1080.02</v>
          </cell>
          <cell r="AE19">
            <v>4201.4079999999994</v>
          </cell>
          <cell r="AF19">
            <v>1026.347</v>
          </cell>
          <cell r="AG19">
            <v>1158.3490000000002</v>
          </cell>
          <cell r="AH19">
            <v>1182.4638600000001</v>
          </cell>
          <cell r="AI19">
            <v>1231.2228000000002</v>
          </cell>
          <cell r="AJ19">
            <v>4598.3826600000002</v>
          </cell>
          <cell r="AK19"/>
          <cell r="AL19"/>
          <cell r="AM19"/>
          <cell r="AN19"/>
          <cell r="AO19">
            <v>4965.8624993000003</v>
          </cell>
          <cell r="AP19"/>
          <cell r="AQ19"/>
          <cell r="AR19"/>
          <cell r="AS19"/>
          <cell r="AT19">
            <v>5362.2574410680008</v>
          </cell>
          <cell r="AU19"/>
          <cell r="AV19"/>
          <cell r="AW19"/>
          <cell r="AX19"/>
          <cell r="AY19">
            <v>5789.8149484369515</v>
          </cell>
        </row>
        <row r="42">
          <cell r="A42" t="str">
            <v>GAAP EPS</v>
          </cell>
          <cell r="B42"/>
          <cell r="C42"/>
          <cell r="D42"/>
          <cell r="E42"/>
          <cell r="F42">
            <v>1.964304670016902</v>
          </cell>
          <cell r="G42"/>
          <cell r="H42"/>
          <cell r="I42"/>
          <cell r="J42"/>
          <cell r="K42">
            <v>1.6801903501482336</v>
          </cell>
          <cell r="L42"/>
          <cell r="M42"/>
          <cell r="N42"/>
          <cell r="O42"/>
          <cell r="P42">
            <v>2.0650487618878333</v>
          </cell>
          <cell r="Q42"/>
          <cell r="R42"/>
          <cell r="S42"/>
          <cell r="T42"/>
          <cell r="U42">
            <v>2.9235832619614008</v>
          </cell>
          <cell r="V42">
            <v>0.83176207327775242</v>
          </cell>
          <cell r="W42">
            <v>0.80873848708681062</v>
          </cell>
          <cell r="X42">
            <v>0.79137641166357398</v>
          </cell>
          <cell r="Y42">
            <v>0.98554766659422011</v>
          </cell>
          <cell r="Z42">
            <v>3.4169454304958116</v>
          </cell>
          <cell r="AA42">
            <v>0.92927153529965012</v>
          </cell>
          <cell r="AB42">
            <v>0.98078064607080861</v>
          </cell>
          <cell r="AC42">
            <v>1.0394919307954749</v>
          </cell>
          <cell r="AD42">
            <v>1.4434589629951422</v>
          </cell>
          <cell r="AE42">
            <v>4.3905309657928733</v>
          </cell>
          <cell r="AF42">
            <v>0.67527251144882816</v>
          </cell>
          <cell r="AG42">
            <v>1.1442365213465704</v>
          </cell>
          <cell r="AH42">
            <v>0.82155451483734632</v>
          </cell>
          <cell r="AI42">
            <v>0.8283821214505408</v>
          </cell>
          <cell r="AJ42">
            <v>3.469119286350268</v>
          </cell>
          <cell r="AK42"/>
          <cell r="AL42"/>
          <cell r="AM42"/>
          <cell r="AN42"/>
          <cell r="AO42">
            <v>4.3100488968147461</v>
          </cell>
          <cell r="AP42"/>
          <cell r="AQ42"/>
          <cell r="AR42"/>
          <cell r="AS42"/>
          <cell r="AT42">
            <v>4.8370660222309159</v>
          </cell>
          <cell r="AU42"/>
          <cell r="AV42"/>
          <cell r="AW42"/>
          <cell r="AX42"/>
          <cell r="AY42">
            <v>5.3515311828018763</v>
          </cell>
        </row>
        <row r="46">
          <cell r="A46" t="str">
            <v>Weighted Average Diluted Shares Outstanding</v>
          </cell>
          <cell r="B46"/>
          <cell r="C46"/>
          <cell r="D46"/>
          <cell r="E46"/>
          <cell r="F46">
            <v>149.71913699999999</v>
          </cell>
          <cell r="G46"/>
          <cell r="H46"/>
          <cell r="I46"/>
          <cell r="J46"/>
          <cell r="K46">
            <v>150.27464000000001</v>
          </cell>
          <cell r="L46"/>
          <cell r="M46"/>
          <cell r="N46"/>
          <cell r="O46"/>
          <cell r="P46">
            <v>147.750022</v>
          </cell>
          <cell r="Q46"/>
          <cell r="R46"/>
          <cell r="S46"/>
          <cell r="T46"/>
          <cell r="U46">
            <v>143.15617599999999</v>
          </cell>
          <cell r="V46">
            <v>141.129301</v>
          </cell>
          <cell r="W46">
            <v>141.36213599999999</v>
          </cell>
          <cell r="X46">
            <v>141.55842699999999</v>
          </cell>
          <cell r="Y46">
            <v>140.902368</v>
          </cell>
          <cell r="Z46">
            <v>141.238135</v>
          </cell>
          <cell r="AA46">
            <v>139.17245399999999</v>
          </cell>
          <cell r="AB46">
            <v>138.74763999999999</v>
          </cell>
          <cell r="AC46">
            <v>138.88611900000001</v>
          </cell>
          <cell r="AD46">
            <v>137.98591099999999</v>
          </cell>
          <cell r="AE46">
            <v>138.69803099999999</v>
          </cell>
          <cell r="AF46">
            <v>136.39234300000001</v>
          </cell>
          <cell r="AG46">
            <v>135.316429</v>
          </cell>
          <cell r="AH46">
            <v>134.316429</v>
          </cell>
          <cell r="AI46">
            <v>132.316429</v>
          </cell>
          <cell r="AJ46">
            <v>134.5854075</v>
          </cell>
          <cell r="AK46"/>
          <cell r="AL46"/>
          <cell r="AM46"/>
          <cell r="AN46"/>
          <cell r="AO46">
            <v>132.90846832102571</v>
          </cell>
          <cell r="AP46"/>
          <cell r="AQ46"/>
          <cell r="AR46"/>
          <cell r="AS46"/>
          <cell r="AT46">
            <v>131.23152914205141</v>
          </cell>
          <cell r="AU46"/>
          <cell r="AV46"/>
          <cell r="AW46"/>
          <cell r="AX46"/>
          <cell r="AY46">
            <v>129.55575288899874</v>
          </cell>
        </row>
        <row r="50">
          <cell r="A50" t="str">
            <v>Revenue Ex-Billable Expenses</v>
          </cell>
          <cell r="B50"/>
          <cell r="C50"/>
          <cell r="D50"/>
          <cell r="E50"/>
          <cell r="F50">
            <v>3892.6550000000002</v>
          </cell>
          <cell r="G50"/>
          <cell r="H50"/>
          <cell r="I50"/>
          <cell r="J50"/>
          <cell r="K50">
            <v>4053.2069999999994</v>
          </cell>
          <cell r="L50"/>
          <cell r="M50"/>
          <cell r="N50"/>
          <cell r="O50"/>
          <cell r="P50">
            <v>4310.5410000000002</v>
          </cell>
          <cell r="Q50"/>
          <cell r="R50"/>
          <cell r="S50"/>
          <cell r="T50"/>
          <cell r="U50">
            <v>4699.3730000000005</v>
          </cell>
          <cell r="V50">
            <v>1274.001</v>
          </cell>
          <cell r="W50">
            <v>1279.731</v>
          </cell>
          <cell r="X50">
            <v>1248.9189999999999</v>
          </cell>
          <cell r="Y50">
            <v>1362.777</v>
          </cell>
          <cell r="Z50">
            <v>5165.4279999999999</v>
          </cell>
          <cell r="AA50">
            <v>1407.376</v>
          </cell>
          <cell r="AB50">
            <v>1415.5329999999999</v>
          </cell>
          <cell r="AC50">
            <v>1326.961</v>
          </cell>
          <cell r="AD50">
            <v>1383.1799999999998</v>
          </cell>
          <cell r="AE50">
            <v>5533.0499999999993</v>
          </cell>
          <cell r="AF50">
            <v>1433.5210000000002</v>
          </cell>
          <cell r="AG50">
            <v>1465.9180000000001</v>
          </cell>
          <cell r="AH50">
            <v>1519.40796</v>
          </cell>
          <cell r="AI50">
            <v>1579.4654400000004</v>
          </cell>
          <cell r="AJ50">
            <v>5998.3124000000007</v>
          </cell>
          <cell r="AK50"/>
          <cell r="AL50"/>
          <cell r="AM50"/>
          <cell r="AN50"/>
          <cell r="AO50">
            <v>6383.0274340000014</v>
          </cell>
          <cell r="AP50"/>
          <cell r="AQ50"/>
          <cell r="AR50"/>
          <cell r="AS50"/>
          <cell r="AT50">
            <v>6829.8393543800021</v>
          </cell>
          <cell r="AU50"/>
          <cell r="AV50"/>
          <cell r="AW50"/>
          <cell r="AX50"/>
          <cell r="AY50">
            <v>7307.9281091866014</v>
          </cell>
        </row>
        <row r="60">
          <cell r="A60" t="str">
            <v>Adjusted Operating Income</v>
          </cell>
          <cell r="B60"/>
          <cell r="C60"/>
          <cell r="D60"/>
          <cell r="E60"/>
          <cell r="F60">
            <v>448.80900000000037</v>
          </cell>
          <cell r="G60"/>
          <cell r="H60"/>
          <cell r="I60"/>
          <cell r="J60"/>
          <cell r="K60">
            <v>491.82599999999974</v>
          </cell>
          <cell r="L60"/>
          <cell r="M60"/>
          <cell r="N60"/>
          <cell r="O60"/>
          <cell r="P60">
            <v>520.08500000000015</v>
          </cell>
          <cell r="Q60"/>
          <cell r="R60"/>
          <cell r="S60"/>
          <cell r="T60"/>
          <cell r="U60">
            <v>606.05400000000031</v>
          </cell>
          <cell r="V60">
            <v>179.04599999999999</v>
          </cell>
          <cell r="W60">
            <v>172.03499999999997</v>
          </cell>
          <cell r="X60">
            <v>170.11399999999998</v>
          </cell>
          <cell r="Y60">
            <v>151.79800000000012</v>
          </cell>
          <cell r="Z60">
            <v>672.99300000000051</v>
          </cell>
          <cell r="AA60">
            <v>192.22899999999996</v>
          </cell>
          <cell r="AB60">
            <v>207.38799999999995</v>
          </cell>
          <cell r="AC60">
            <v>184.32500000000007</v>
          </cell>
          <cell r="AD60">
            <v>171.41699999999997</v>
          </cell>
          <cell r="AE60">
            <v>755.35899999999992</v>
          </cell>
          <cell r="AF60">
            <v>213.05199999999999</v>
          </cell>
          <cell r="AG60">
            <v>243.91500000000016</v>
          </cell>
          <cell r="AH60">
            <v>171.16128320000004</v>
          </cell>
          <cell r="AI60">
            <v>170.20062800000002</v>
          </cell>
          <cell r="AJ60">
            <v>798.32891120000022</v>
          </cell>
          <cell r="AK60"/>
          <cell r="AL60"/>
          <cell r="AM60"/>
          <cell r="AN60"/>
          <cell r="AO60">
            <v>866.19758324984218</v>
          </cell>
          <cell r="AP60"/>
          <cell r="AQ60"/>
          <cell r="AR60"/>
          <cell r="AS60"/>
          <cell r="AT60">
            <v>945.62209026304549</v>
          </cell>
          <cell r="AU60"/>
          <cell r="AV60"/>
          <cell r="AW60"/>
          <cell r="AX60"/>
          <cell r="AY60">
            <v>1020.6687241473267</v>
          </cell>
        </row>
        <row r="61">
          <cell r="A61" t="str">
            <v>Adjusted Operating Margin</v>
          </cell>
          <cell r="B61"/>
          <cell r="C61"/>
          <cell r="D61"/>
          <cell r="E61"/>
          <cell r="F61">
            <v>8.3024556499038671E-2</v>
          </cell>
          <cell r="G61"/>
          <cell r="H61"/>
          <cell r="I61"/>
          <cell r="J61"/>
          <cell r="K61">
            <v>8.4734999183361762E-2</v>
          </cell>
          <cell r="L61"/>
          <cell r="M61"/>
          <cell r="N61"/>
          <cell r="O61"/>
          <cell r="P61">
            <v>8.4267237084227398E-2</v>
          </cell>
          <cell r="Q61"/>
          <cell r="R61"/>
          <cell r="S61"/>
          <cell r="T61"/>
          <cell r="U61">
            <v>9.0401350708535805E-2</v>
          </cell>
          <cell r="V61">
            <v>9.8097936856500409E-2</v>
          </cell>
          <cell r="W61">
            <v>9.4546699590069547E-2</v>
          </cell>
          <cell r="X61">
            <v>9.1981306784049865E-2</v>
          </cell>
          <cell r="Y61">
            <v>7.7068632094989667E-2</v>
          </cell>
          <cell r="Z61">
            <v>9.0167113688515127E-2</v>
          </cell>
          <cell r="AA61">
            <v>9.8253829762330075E-2</v>
          </cell>
          <cell r="AB61">
            <v>0.10270876616060438</v>
          </cell>
          <cell r="AC61">
            <v>9.6808331845253767E-2</v>
          </cell>
          <cell r="AD61">
            <v>8.6605735418940205E-2</v>
          </cell>
          <cell r="AE61">
            <v>9.6114640425971037E-2</v>
          </cell>
          <cell r="AF61">
            <v>0.10711157900240614</v>
          </cell>
          <cell r="AG61">
            <v>0.1158169985536824</v>
          </cell>
          <cell r="AH61">
            <v>7.8854989176178877E-2</v>
          </cell>
          <cell r="AI61">
            <v>7.5430861975682106E-2</v>
          </cell>
          <cell r="AJ61">
            <v>9.3677860650222627E-2</v>
          </cell>
          <cell r="AK61"/>
          <cell r="AL61"/>
          <cell r="AM61"/>
          <cell r="AN61"/>
          <cell r="AO61">
            <v>9.4992276712638268E-2</v>
          </cell>
          <cell r="AP61"/>
          <cell r="AQ61"/>
          <cell r="AR61"/>
          <cell r="AS61"/>
          <cell r="AT61">
            <v>9.6918159979799537E-2</v>
          </cell>
          <cell r="AU61"/>
          <cell r="AV61"/>
          <cell r="AW61"/>
          <cell r="AX61"/>
          <cell r="AY61">
            <v>9.7766165215143516E-2</v>
          </cell>
        </row>
        <row r="77">
          <cell r="A77" t="str">
            <v>Adjusted EBITDA</v>
          </cell>
          <cell r="B77"/>
          <cell r="C77"/>
          <cell r="D77"/>
          <cell r="E77"/>
          <cell r="F77">
            <v>506.12000000000035</v>
          </cell>
          <cell r="G77"/>
          <cell r="H77"/>
          <cell r="I77"/>
          <cell r="J77"/>
          <cell r="K77">
            <v>547.14499999999975</v>
          </cell>
          <cell r="L77"/>
          <cell r="M77"/>
          <cell r="N77"/>
          <cell r="O77"/>
          <cell r="P77">
            <v>584.84100000000012</v>
          </cell>
          <cell r="Q77"/>
          <cell r="R77"/>
          <cell r="S77"/>
          <cell r="T77"/>
          <cell r="U77">
            <v>674.62900000000036</v>
          </cell>
          <cell r="V77">
            <v>199.06700000000001</v>
          </cell>
          <cell r="W77">
            <v>191.66699999999997</v>
          </cell>
          <cell r="X77">
            <v>190.76899999999998</v>
          </cell>
          <cell r="Y77">
            <v>172.57100000000008</v>
          </cell>
          <cell r="Z77">
            <v>754.07400000000064</v>
          </cell>
          <cell r="AA77">
            <v>212.96099999999993</v>
          </cell>
          <cell r="AB77">
            <v>228.40299999999999</v>
          </cell>
          <cell r="AC77">
            <v>205.4380000000001</v>
          </cell>
          <cell r="AD77">
            <v>192.87199999999996</v>
          </cell>
          <cell r="AE77">
            <v>839.67399999999998</v>
          </cell>
          <cell r="AF77">
            <v>238.13900000000001</v>
          </cell>
          <cell r="AG77">
            <v>269.64900000000017</v>
          </cell>
          <cell r="AH77">
            <v>204.03478320000002</v>
          </cell>
          <cell r="AI77">
            <v>203.07412800000003</v>
          </cell>
          <cell r="AJ77">
            <v>914.8969112000002</v>
          </cell>
          <cell r="AK77"/>
          <cell r="AL77"/>
          <cell r="AM77"/>
          <cell r="AN77"/>
          <cell r="AO77">
            <v>966.57272572000011</v>
          </cell>
          <cell r="AP77"/>
          <cell r="AQ77"/>
          <cell r="AR77"/>
          <cell r="AS77"/>
          <cell r="AT77">
            <v>1043.9897298838002</v>
          </cell>
          <cell r="AU77"/>
          <cell r="AV77"/>
          <cell r="AW77"/>
          <cell r="AX77"/>
          <cell r="AY77">
            <v>1117.0690109756663</v>
          </cell>
        </row>
        <row r="80">
          <cell r="A80" t="str">
            <v>Adjusted EBITDA Margin on Revenue Ex-Billable Expenses</v>
          </cell>
          <cell r="B80"/>
          <cell r="C80"/>
          <cell r="D80"/>
          <cell r="E80"/>
          <cell r="F80">
            <v>0.13001922852140771</v>
          </cell>
          <cell r="G80"/>
          <cell r="H80"/>
          <cell r="I80"/>
          <cell r="J80"/>
          <cell r="K80">
            <v>0.13499063827729496</v>
          </cell>
          <cell r="L80"/>
          <cell r="M80"/>
          <cell r="N80"/>
          <cell r="O80"/>
          <cell r="P80">
            <v>0.13567693707124004</v>
          </cell>
          <cell r="Q80"/>
          <cell r="R80"/>
          <cell r="S80"/>
          <cell r="T80"/>
          <cell r="U80">
            <v>0.14355723625258099</v>
          </cell>
          <cell r="V80">
            <v>0.15625340953421543</v>
          </cell>
          <cell r="W80">
            <v>0.14977131912878563</v>
          </cell>
          <cell r="X80">
            <v>0.15274729586146099</v>
          </cell>
          <cell r="Y80">
            <v>0.12663187007118559</v>
          </cell>
          <cell r="Z80">
            <v>0.14598480513134646</v>
          </cell>
          <cell r="AA80">
            <v>0.15131777151237474</v>
          </cell>
          <cell r="AB80">
            <v>0.16135476883972327</v>
          </cell>
          <cell r="AC80">
            <v>0.15481841591425829</v>
          </cell>
          <cell r="AD80">
            <v>0.13944099827932732</v>
          </cell>
          <cell r="AE80">
            <v>0.15175608389586215</v>
          </cell>
          <cell r="AF80">
            <v>0.16612173801430183</v>
          </cell>
          <cell r="AG80">
            <v>0.18394548671890251</v>
          </cell>
          <cell r="AH80">
            <v>0.13428571428571429</v>
          </cell>
          <cell r="AI80">
            <v>0.12857142857142856</v>
          </cell>
          <cell r="AJ80">
            <v>0.15252571893387881</v>
          </cell>
          <cell r="AK80"/>
          <cell r="AL80"/>
          <cell r="AM80"/>
          <cell r="AN80"/>
          <cell r="AO80">
            <v>0.15142857142857141</v>
          </cell>
          <cell r="AP80"/>
          <cell r="AQ80"/>
          <cell r="AR80"/>
          <cell r="AS80"/>
          <cell r="AT80">
            <v>0.15285714285714286</v>
          </cell>
          <cell r="AU80"/>
          <cell r="AV80"/>
          <cell r="AW80"/>
          <cell r="AX80"/>
          <cell r="AY80">
            <v>0.15285714285714286</v>
          </cell>
        </row>
        <row r="98">
          <cell r="A98" t="str">
            <v>Adjusted EPS</v>
          </cell>
          <cell r="B98"/>
          <cell r="C98"/>
          <cell r="D98"/>
          <cell r="E98"/>
          <cell r="F98">
            <v>1.6460728063106616</v>
          </cell>
          <cell r="G98"/>
          <cell r="H98"/>
          <cell r="I98"/>
          <cell r="J98"/>
          <cell r="K98">
            <v>1.7458501314659596</v>
          </cell>
          <cell r="L98"/>
          <cell r="M98"/>
          <cell r="N98"/>
          <cell r="O98"/>
          <cell r="P98">
            <v>2.0148215274039019</v>
          </cell>
          <cell r="Q98"/>
          <cell r="R98"/>
          <cell r="S98"/>
          <cell r="T98"/>
          <cell r="U98">
            <v>2.7594212910520914</v>
          </cell>
          <cell r="V98">
            <v>0.83415831557190223</v>
          </cell>
          <cell r="W98">
            <v>0.81188982599979931</v>
          </cell>
          <cell r="X98">
            <v>0.80159622005406983</v>
          </cell>
          <cell r="Y98">
            <v>0.72923032776851637</v>
          </cell>
          <cell r="Z98">
            <v>3.1770289235269251</v>
          </cell>
          <cell r="AA98">
            <v>0.93329560747703677</v>
          </cell>
          <cell r="AB98">
            <v>1.0341801849746775</v>
          </cell>
          <cell r="AC98">
            <v>1.0436105569340599</v>
          </cell>
          <cell r="AD98">
            <v>0.89297044246785451</v>
          </cell>
          <cell r="AE98">
            <v>3.9040567918536286</v>
          </cell>
          <cell r="AF98">
            <v>1.069610483925773</v>
          </cell>
          <cell r="AG98">
            <v>1.2574269159881553</v>
          </cell>
          <cell r="AH98">
            <v>0.89932492205615877</v>
          </cell>
          <cell r="AI98">
            <v>0.9073280502248634</v>
          </cell>
          <cell r="AJ98">
            <v>4.1377867773560313</v>
          </cell>
          <cell r="AK98"/>
          <cell r="AL98"/>
          <cell r="AM98"/>
          <cell r="AN98"/>
          <cell r="AO98">
            <v>4.6754946142114573</v>
          </cell>
          <cell r="AP98"/>
          <cell r="AQ98"/>
          <cell r="AR98"/>
          <cell r="AS98"/>
          <cell r="AT98">
            <v>5.199779268459098</v>
          </cell>
          <cell r="AU98"/>
          <cell r="AV98"/>
          <cell r="AW98"/>
          <cell r="AX98"/>
          <cell r="AY98">
            <v>5.7115879508229499</v>
          </cell>
        </row>
        <row r="124">
          <cell r="A124" t="str">
            <v>Cash Flow from Operations</v>
          </cell>
          <cell r="B124"/>
          <cell r="C124"/>
          <cell r="D124"/>
          <cell r="E124"/>
          <cell r="F124">
            <v>249.23400000000029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382.27699999999976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369.14300000000009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499.61000000000024</v>
          </cell>
          <cell r="V124">
            <v>50.982999999999954</v>
          </cell>
          <cell r="W124">
            <v>215.69600000000003</v>
          </cell>
          <cell r="X124">
            <v>99.779999999999959</v>
          </cell>
          <cell r="Y124">
            <v>184.96900000000014</v>
          </cell>
          <cell r="Z124">
            <v>551.42800000000045</v>
          </cell>
          <cell r="AA124">
            <v>140.41799999999986</v>
          </cell>
          <cell r="AB124">
            <v>425.60599999999988</v>
          </cell>
          <cell r="AC124">
            <v>232.93500000000012</v>
          </cell>
          <cell r="AD124">
            <v>-80.274999999999977</v>
          </cell>
          <cell r="AE124">
            <v>718.68399999999986</v>
          </cell>
          <cell r="AF124">
            <v>-10.662000000000006</v>
          </cell>
          <cell r="AG124">
            <v>470.40800000000019</v>
          </cell>
          <cell r="AH124">
            <v>242.1523965318741</v>
          </cell>
          <cell r="AI124">
            <v>115.47365951466327</v>
          </cell>
          <cell r="AJ124">
            <v>817.37205604653764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722.29210534238632</v>
          </cell>
          <cell r="AP124">
            <v>0</v>
          </cell>
          <cell r="AQ124">
            <v>0</v>
          </cell>
          <cell r="AR124">
            <v>0</v>
          </cell>
          <cell r="AS124">
            <v>0</v>
          </cell>
          <cell r="AT124">
            <v>866.54922923376103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915.29986235301692</v>
          </cell>
        </row>
        <row r="152">
          <cell r="A152" t="str">
            <v>Free Cash Flow</v>
          </cell>
          <cell r="B152"/>
          <cell r="C152"/>
          <cell r="D152"/>
          <cell r="E152"/>
          <cell r="F152">
            <v>182.59900000000027</v>
          </cell>
          <cell r="G152"/>
          <cell r="H152"/>
          <cell r="I152"/>
          <cell r="J152"/>
          <cell r="K152">
            <v>328.35799999999978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290.70600000000007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404.92900000000026</v>
          </cell>
          <cell r="V152">
            <v>23.646999999999956</v>
          </cell>
          <cell r="W152">
            <v>183.05400000000003</v>
          </cell>
          <cell r="X152">
            <v>69.045999999999964</v>
          </cell>
          <cell r="Y152">
            <v>147.60200000000015</v>
          </cell>
          <cell r="Z152">
            <v>423.34900000000044</v>
          </cell>
          <cell r="AA152">
            <v>120.35999999999987</v>
          </cell>
          <cell r="AB152">
            <v>407.57999999999987</v>
          </cell>
          <cell r="AC152">
            <v>216.9860000000001</v>
          </cell>
          <cell r="AD152">
            <v>-113.45199999999997</v>
          </cell>
          <cell r="AE152">
            <v>631.47399999999982</v>
          </cell>
          <cell r="AF152">
            <v>-19.670000000000005</v>
          </cell>
          <cell r="AG152">
            <v>449.74100000000021</v>
          </cell>
          <cell r="AH152">
            <v>216.1054029318741</v>
          </cell>
          <cell r="AI152">
            <v>88.397109114663266</v>
          </cell>
          <cell r="AJ152">
            <v>734.57351204653764</v>
          </cell>
          <cell r="AK152"/>
          <cell r="AL152"/>
          <cell r="AM152"/>
          <cell r="AN152"/>
          <cell r="AO152">
            <v>621.1036200571989</v>
          </cell>
          <cell r="AP152">
            <v>0</v>
          </cell>
          <cell r="AQ152">
            <v>0</v>
          </cell>
          <cell r="AR152">
            <v>0</v>
          </cell>
          <cell r="AS152">
            <v>0</v>
          </cell>
          <cell r="AT152">
            <v>749.466268872961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  <cell r="AY152">
            <v>790.02109476696091</v>
          </cell>
        </row>
        <row r="222">
          <cell r="A222" t="str">
            <v>Gross Debt</v>
          </cell>
          <cell r="F222">
            <v>1597.2610000000002</v>
          </cell>
          <cell r="K222">
            <v>1663.3240000000001</v>
          </cell>
          <cell r="P222">
            <v>1818.579</v>
          </cell>
          <cell r="U222">
            <v>1759.761</v>
          </cell>
          <cell r="V222">
            <v>2141.2449999999999</v>
          </cell>
          <cell r="W222">
            <v>2122.7449999999999</v>
          </cell>
          <cell r="X222">
            <v>2104.5099999999998</v>
          </cell>
          <cell r="Y222">
            <v>2185.8440000000001</v>
          </cell>
          <cell r="Z222">
            <v>2185.8440000000001</v>
          </cell>
          <cell r="AA222">
            <v>2067.1929999999998</v>
          </cell>
          <cell r="AB222">
            <v>2393.6039999999998</v>
          </cell>
          <cell r="AC222">
            <v>2375.0069999999996</v>
          </cell>
          <cell r="AD222">
            <v>2356.596</v>
          </cell>
          <cell r="AE222">
            <v>2356.596</v>
          </cell>
          <cell r="AF222">
            <v>2848.6559999999999</v>
          </cell>
          <cell r="AG222">
            <v>2832.462</v>
          </cell>
          <cell r="AH222">
            <v>2832.462</v>
          </cell>
          <cell r="AI222">
            <v>2832.462</v>
          </cell>
          <cell r="AJ222">
            <v>2832.462</v>
          </cell>
          <cell r="AO222">
            <v>2832.462</v>
          </cell>
          <cell r="AT222">
            <v>2832.462</v>
          </cell>
          <cell r="AY222">
            <v>2832.462</v>
          </cell>
        </row>
        <row r="223">
          <cell r="A223" t="str">
            <v>Gross Debt</v>
          </cell>
          <cell r="B223"/>
          <cell r="C223"/>
          <cell r="D223"/>
          <cell r="E223"/>
          <cell r="F223">
            <v>1597.2610000000002</v>
          </cell>
          <cell r="G223"/>
          <cell r="H223"/>
          <cell r="I223"/>
          <cell r="J223"/>
          <cell r="K223">
            <v>1663.3240000000001</v>
          </cell>
          <cell r="L223"/>
          <cell r="M223"/>
          <cell r="N223"/>
          <cell r="O223"/>
          <cell r="P223">
            <v>1818.579</v>
          </cell>
          <cell r="Q223"/>
          <cell r="R223"/>
          <cell r="S223"/>
          <cell r="T223"/>
          <cell r="U223">
            <v>1759.761</v>
          </cell>
          <cell r="V223">
            <v>2141.2449999999999</v>
          </cell>
          <cell r="W223">
            <v>2122.7449999999999</v>
          </cell>
          <cell r="X223">
            <v>2104.5099999999998</v>
          </cell>
          <cell r="Y223">
            <v>2185.8440000000001</v>
          </cell>
          <cell r="Z223">
            <v>2185.8440000000001</v>
          </cell>
          <cell r="AA223">
            <v>2067.1929999999998</v>
          </cell>
          <cell r="AB223">
            <v>2393.6039999999998</v>
          </cell>
          <cell r="AC223">
            <v>2375.0069999999996</v>
          </cell>
          <cell r="AD223">
            <v>2356.596</v>
          </cell>
          <cell r="AE223">
            <v>2356.596</v>
          </cell>
          <cell r="AF223">
            <v>2848.6559999999999</v>
          </cell>
          <cell r="AG223">
            <v>2832.462</v>
          </cell>
          <cell r="AH223">
            <v>2832.462</v>
          </cell>
          <cell r="AI223">
            <v>2832.462</v>
          </cell>
          <cell r="AJ223">
            <v>2832.462</v>
          </cell>
          <cell r="AK223"/>
          <cell r="AL223"/>
          <cell r="AM223"/>
          <cell r="AN223"/>
          <cell r="AO223">
            <v>2832.462</v>
          </cell>
          <cell r="AP223"/>
          <cell r="AQ223"/>
          <cell r="AR223"/>
          <cell r="AS223"/>
          <cell r="AT223">
            <v>2832.462</v>
          </cell>
          <cell r="AU223"/>
          <cell r="AV223"/>
          <cell r="AW223"/>
          <cell r="AX223"/>
          <cell r="AY223">
            <v>2832.462</v>
          </cell>
        </row>
        <row r="229">
          <cell r="A229" t="str">
            <v>Net Leverage</v>
          </cell>
          <cell r="F229">
            <v>2.7853710582470543</v>
          </cell>
          <cell r="K229">
            <v>2.6426395196885668</v>
          </cell>
          <cell r="P229">
            <v>2.6188673502712696</v>
          </cell>
          <cell r="U229">
            <v>2.1875297385674188</v>
          </cell>
          <cell r="V229" t="str">
            <v>NA</v>
          </cell>
          <cell r="W229" t="str">
            <v>NA</v>
          </cell>
          <cell r="X229" t="str">
            <v>NA</v>
          </cell>
          <cell r="Y229">
            <v>1.9148558364298465</v>
          </cell>
          <cell r="Z229">
            <v>1.9148558364298451</v>
          </cell>
          <cell r="AA229">
            <v>1.8836474957289884</v>
          </cell>
          <cell r="AB229">
            <v>1.389845210164234</v>
          </cell>
          <cell r="AC229">
            <v>1.2615817216334924</v>
          </cell>
          <cell r="AD229">
            <v>1.6263942911177434</v>
          </cell>
          <cell r="AE229">
            <v>1.6263942911177434</v>
          </cell>
          <cell r="AF229">
            <v>2.5747688621868248</v>
          </cell>
          <cell r="AG229">
            <v>2.2555672785945884</v>
          </cell>
          <cell r="AH229">
            <v>1.2449703896982971</v>
          </cell>
          <cell r="AI229">
            <v>1.3396201725339636</v>
          </cell>
          <cell r="AJ229">
            <v>2.1822649563429728</v>
          </cell>
          <cell r="AO229">
            <v>1.8188967700194991</v>
          </cell>
          <cell r="AT229">
            <v>1.2464484600852335</v>
          </cell>
          <cell r="AY229">
            <v>0.69960838118337443</v>
          </cell>
        </row>
      </sheetData>
      <sheetData sheetId="3"/>
      <sheetData sheetId="4"/>
      <sheetData sheetId="5"/>
      <sheetData sheetId="6">
        <row r="2">
          <cell r="C2" t="str">
            <v>FY1 PE</v>
          </cell>
        </row>
      </sheetData>
      <sheetData sheetId="7">
        <row r="7">
          <cell r="E7">
            <v>44561</v>
          </cell>
        </row>
      </sheetData>
      <sheetData sheetId="8">
        <row r="2">
          <cell r="C2" t="str">
            <v>FY1 EV/EBITDA</v>
          </cell>
        </row>
      </sheetData>
      <sheetData sheetId="9">
        <row r="2">
          <cell r="C2" t="str">
            <v>FY1 FCF Yield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"/>
      <sheetName val="Valuation"/>
      <sheetName val="Summary"/>
      <sheetName val="Main Worksheet"/>
      <sheetName val="Relative PE"/>
      <sheetName val="PEG Trading History"/>
      <sheetName val="PE Trading History"/>
      <sheetName val="EV.EBITDA Trading History"/>
      <sheetName val="FCF Yield Trading History"/>
      <sheetName val="FactSet"/>
    </sheetNames>
    <sheetDataSet>
      <sheetData sheetId="0"/>
      <sheetData sheetId="1"/>
      <sheetData sheetId="2">
        <row r="10">
          <cell r="AG10">
            <v>1438.4997534870306</v>
          </cell>
        </row>
      </sheetData>
      <sheetData sheetId="3">
        <row r="11">
          <cell r="A11" t="str">
            <v>Reported Sales</v>
          </cell>
          <cell r="B11"/>
          <cell r="C11">
            <v>7043</v>
          </cell>
          <cell r="D11"/>
          <cell r="E11"/>
          <cell r="F11"/>
          <cell r="G11"/>
          <cell r="H11">
            <v>10170</v>
          </cell>
          <cell r="I11">
            <v>2443</v>
          </cell>
          <cell r="J11">
            <v>2529</v>
          </cell>
          <cell r="K11">
            <v>2575</v>
          </cell>
          <cell r="L11">
            <v>2647</v>
          </cell>
          <cell r="M11">
            <v>10194</v>
          </cell>
          <cell r="N11">
            <v>2577</v>
          </cell>
          <cell r="O11">
            <v>2728</v>
          </cell>
          <cell r="P11">
            <v>2835</v>
          </cell>
          <cell r="Q11">
            <v>2954</v>
          </cell>
          <cell r="R11">
            <v>11094</v>
          </cell>
          <cell r="S11">
            <v>2889</v>
          </cell>
          <cell r="T11">
            <v>2914</v>
          </cell>
          <cell r="U11">
            <v>3242</v>
          </cell>
          <cell r="V11">
            <v>3252</v>
          </cell>
          <cell r="W11">
            <v>12297</v>
          </cell>
          <cell r="X11">
            <v>3315</v>
          </cell>
          <cell r="Y11">
            <v>3448</v>
          </cell>
          <cell r="Z11">
            <v>3483</v>
          </cell>
          <cell r="AA11">
            <v>3558.98</v>
          </cell>
          <cell r="AB11">
            <v>13804.98</v>
          </cell>
          <cell r="AC11">
            <v>3415.5550000000003</v>
          </cell>
          <cell r="AD11">
            <v>3430.5899999999997</v>
          </cell>
          <cell r="AE11">
            <v>3426.3799999999997</v>
          </cell>
          <cell r="AF11">
            <v>3546.2070000000003</v>
          </cell>
          <cell r="AG11">
            <v>13818.732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14670.644045000001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15575.26598145</v>
          </cell>
        </row>
        <row r="80">
          <cell r="A80" t="str">
            <v>GAAP EPS - Diluted</v>
          </cell>
          <cell r="B80"/>
          <cell r="C80">
            <v>2.3461538461538463</v>
          </cell>
          <cell r="D80"/>
          <cell r="E80"/>
          <cell r="F80"/>
          <cell r="G80"/>
          <cell r="H80">
            <v>2.3766233766233764</v>
          </cell>
          <cell r="I80"/>
          <cell r="J80"/>
          <cell r="K80"/>
          <cell r="L80"/>
          <cell r="M80">
            <v>3.7973856209150325</v>
          </cell>
          <cell r="N80"/>
          <cell r="O80"/>
          <cell r="P80"/>
          <cell r="Q80"/>
          <cell r="R80">
            <v>4.5999999999999996</v>
          </cell>
          <cell r="S80">
            <v>0.79861111111111116</v>
          </cell>
          <cell r="T80">
            <v>1.0625</v>
          </cell>
          <cell r="U80">
            <v>1.1319444444444444</v>
          </cell>
          <cell r="V80">
            <v>1.3680555555555556</v>
          </cell>
          <cell r="W80">
            <v>4.3611111111111107</v>
          </cell>
          <cell r="X80">
            <v>1.4236111111111112</v>
          </cell>
          <cell r="Y80">
            <v>1.1818181818181819</v>
          </cell>
          <cell r="Z80">
            <v>1.4335664335664335</v>
          </cell>
          <cell r="AA80">
            <v>1.3337420611209523</v>
          </cell>
          <cell r="AB80">
            <v>5.3734131686070628</v>
          </cell>
          <cell r="AC80">
            <v>1.4766751374703697</v>
          </cell>
          <cell r="AD80">
            <v>1.1991037553326458</v>
          </cell>
          <cell r="AE80">
            <v>1.1452670644414005</v>
          </cell>
          <cell r="AF80">
            <v>1.1866847020111075</v>
          </cell>
          <cell r="AG80">
            <v>5.0089471754967025</v>
          </cell>
          <cell r="AH80"/>
          <cell r="AI80"/>
          <cell r="AJ80"/>
          <cell r="AK80"/>
          <cell r="AL80">
            <v>5.7830663512285492</v>
          </cell>
          <cell r="AM80"/>
          <cell r="AN80"/>
          <cell r="AO80"/>
          <cell r="AP80"/>
          <cell r="AQ80">
            <v>6.7981332522214633</v>
          </cell>
        </row>
        <row r="86">
          <cell r="C86">
            <v>104</v>
          </cell>
          <cell r="D86"/>
          <cell r="E86"/>
          <cell r="F86"/>
          <cell r="G86"/>
          <cell r="H86">
            <v>154</v>
          </cell>
          <cell r="I86"/>
          <cell r="J86"/>
          <cell r="K86"/>
          <cell r="L86"/>
          <cell r="M86">
            <v>153</v>
          </cell>
          <cell r="N86"/>
          <cell r="O86"/>
          <cell r="P86"/>
          <cell r="Q86"/>
          <cell r="R86">
            <v>145</v>
          </cell>
          <cell r="S86">
            <v>144</v>
          </cell>
          <cell r="T86">
            <v>144</v>
          </cell>
          <cell r="U86">
            <v>144</v>
          </cell>
          <cell r="V86">
            <v>144</v>
          </cell>
          <cell r="W86">
            <v>144</v>
          </cell>
          <cell r="X86">
            <v>144</v>
          </cell>
          <cell r="Y86">
            <v>143</v>
          </cell>
          <cell r="Z86">
            <v>143</v>
          </cell>
          <cell r="AA86">
            <v>141.30181351242555</v>
          </cell>
          <cell r="AB86">
            <v>142.82545337810637</v>
          </cell>
          <cell r="AC86">
            <v>139.60683723229164</v>
          </cell>
          <cell r="AD86">
            <v>141.12705364103766</v>
          </cell>
          <cell r="AE86">
            <v>137.57800681786915</v>
          </cell>
          <cell r="AF86">
            <v>139.0945078701038</v>
          </cell>
          <cell r="AG86">
            <v>139.35160139032556</v>
          </cell>
          <cell r="AH86"/>
          <cell r="AI86"/>
          <cell r="AJ86"/>
          <cell r="AK86"/>
          <cell r="AL86">
            <v>131.9837352903709</v>
          </cell>
          <cell r="AM86"/>
          <cell r="AN86"/>
          <cell r="AO86"/>
          <cell r="AP86"/>
          <cell r="AQ86">
            <v>124.80884626469434</v>
          </cell>
        </row>
        <row r="112">
          <cell r="A112" t="str">
            <v>Total Adjusted Operating Income</v>
          </cell>
          <cell r="B112"/>
          <cell r="C112">
            <v>609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993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1004</v>
          </cell>
          <cell r="N112">
            <v>239</v>
          </cell>
          <cell r="O112">
            <v>256</v>
          </cell>
          <cell r="P112">
            <v>295</v>
          </cell>
          <cell r="Q112">
            <v>309</v>
          </cell>
          <cell r="R112">
            <v>1099</v>
          </cell>
          <cell r="S112">
            <v>246</v>
          </cell>
          <cell r="T112">
            <v>327</v>
          </cell>
          <cell r="U112">
            <v>324</v>
          </cell>
          <cell r="V112">
            <v>349</v>
          </cell>
          <cell r="W112">
            <v>1246</v>
          </cell>
          <cell r="X112">
            <v>367</v>
          </cell>
          <cell r="Y112">
            <v>334</v>
          </cell>
          <cell r="Z112">
            <v>376</v>
          </cell>
          <cell r="AA112">
            <v>367.16461917012452</v>
          </cell>
          <cell r="AB112">
            <v>1444.1646191701245</v>
          </cell>
          <cell r="AC112">
            <v>376.73239683350357</v>
          </cell>
          <cell r="AD112">
            <v>328.774</v>
          </cell>
          <cell r="AE112">
            <v>313.62800000000004</v>
          </cell>
          <cell r="AF112">
            <v>323.36535665352699</v>
          </cell>
          <cell r="AG112">
            <v>1342.4997534870306</v>
          </cell>
          <cell r="AH112"/>
          <cell r="AI112"/>
          <cell r="AJ112"/>
          <cell r="AK112"/>
          <cell r="AL112">
            <v>1427.2606473599999</v>
          </cell>
          <cell r="AM112"/>
          <cell r="AN112"/>
          <cell r="AO112"/>
          <cell r="AP112"/>
          <cell r="AQ112">
            <v>1537.9054129395001</v>
          </cell>
        </row>
        <row r="113">
          <cell r="A113" t="str">
            <v>Total Adjusted Operating Income Margin</v>
          </cell>
          <cell r="B113"/>
          <cell r="C113">
            <v>8.6468834303563821E-2</v>
          </cell>
          <cell r="D113"/>
          <cell r="E113"/>
          <cell r="F113"/>
          <cell r="G113"/>
          <cell r="H113">
            <v>9.7640117994100301E-2</v>
          </cell>
          <cell r="I113"/>
          <cell r="J113"/>
          <cell r="K113"/>
          <cell r="L113"/>
          <cell r="M113">
            <v>9.848930743574652E-2</v>
          </cell>
          <cell r="N113">
            <v>9.2743500194024053E-2</v>
          </cell>
          <cell r="O113">
            <v>9.3841642228739003E-2</v>
          </cell>
          <cell r="P113">
            <v>0.10405643738977072</v>
          </cell>
          <cell r="Q113">
            <v>0.1046039268788084</v>
          </cell>
          <cell r="R113">
            <v>9.9062556336758603E-2</v>
          </cell>
          <cell r="S113">
            <v>8.5150571131879543E-2</v>
          </cell>
          <cell r="T113">
            <v>0.1122168840082361</v>
          </cell>
          <cell r="U113">
            <v>9.9938309685379395E-2</v>
          </cell>
          <cell r="V113">
            <v>0.10731857318573186</v>
          </cell>
          <cell r="W113">
            <v>0.10132552655119134</v>
          </cell>
          <cell r="X113">
            <v>0.11070889894419306</v>
          </cell>
          <cell r="Y113">
            <v>9.6867749419953603E-2</v>
          </cell>
          <cell r="Z113">
            <v>0.10795291415446454</v>
          </cell>
          <cell r="AA113">
            <v>0.1031656876886424</v>
          </cell>
          <cell r="AB113">
            <v>0.10461185884877229</v>
          </cell>
          <cell r="AC113">
            <v>0.11029902807406221</v>
          </cell>
          <cell r="AD113">
            <v>9.5835993225655072E-2</v>
          </cell>
          <cell r="AE113">
            <v>9.1533338392122326E-2</v>
          </cell>
          <cell r="AF113">
            <v>9.1186260884806483E-2</v>
          </cell>
          <cell r="AG113">
            <v>9.7150719290817034E-2</v>
          </cell>
          <cell r="AH113"/>
          <cell r="AI113"/>
          <cell r="AJ113"/>
          <cell r="AK113"/>
          <cell r="AL113">
            <v>9.7286843234836301E-2</v>
          </cell>
          <cell r="AM113"/>
          <cell r="AN113"/>
          <cell r="AO113"/>
          <cell r="AP113"/>
          <cell r="AQ113">
            <v>9.8740234341495772E-2</v>
          </cell>
        </row>
        <row r="138">
          <cell r="A138" t="str">
            <v>Adjusted Earnings Per Share, attributable to Leidos</v>
          </cell>
          <cell r="B138"/>
          <cell r="C138">
            <v>2.7980769230769229</v>
          </cell>
          <cell r="D138"/>
          <cell r="E138"/>
          <cell r="F138"/>
          <cell r="G138"/>
          <cell r="H138">
            <v>3.720779220779221</v>
          </cell>
          <cell r="I138"/>
          <cell r="J138"/>
          <cell r="K138"/>
          <cell r="L138"/>
          <cell r="M138">
            <v>4.3790849673202619</v>
          </cell>
          <cell r="N138"/>
          <cell r="O138"/>
          <cell r="P138"/>
          <cell r="Q138"/>
          <cell r="R138">
            <v>5.1724137931034484</v>
          </cell>
          <cell r="S138">
            <v>1.1875</v>
          </cell>
          <cell r="T138">
            <v>1.5486111111111112</v>
          </cell>
          <cell r="U138">
            <v>1.4722222222222223</v>
          </cell>
          <cell r="V138">
            <v>1.625</v>
          </cell>
          <cell r="W138">
            <v>5.833333333333333</v>
          </cell>
          <cell r="X138">
            <v>1.7291666666666667</v>
          </cell>
          <cell r="Y138">
            <v>1.5244755244755244</v>
          </cell>
          <cell r="Z138">
            <v>1.7972027972027973</v>
          </cell>
          <cell r="AA138">
            <v>1.6550999373964206</v>
          </cell>
          <cell r="AB138">
            <v>6.706568052422841</v>
          </cell>
          <cell r="AC138">
            <v>1.8019346419792373</v>
          </cell>
          <cell r="AD138">
            <v>1.5208595741689375</v>
          </cell>
          <cell r="AE138">
            <v>1.4753230941405282</v>
          </cell>
          <cell r="AF138">
            <v>1.5131422408424102</v>
          </cell>
          <cell r="AG138">
            <v>6.3123681696203571</v>
          </cell>
          <cell r="AH138"/>
          <cell r="AI138"/>
          <cell r="AJ138"/>
          <cell r="AK138"/>
          <cell r="AL138">
            <v>7.1592495787853219</v>
          </cell>
          <cell r="AM138"/>
          <cell r="AN138"/>
          <cell r="AO138"/>
          <cell r="AP138"/>
          <cell r="AQ138">
            <v>8.2534291567416656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"/>
      <sheetName val="Summary"/>
      <sheetName val="Main Worksheet"/>
      <sheetName val="Valuation"/>
      <sheetName val="Relative PE"/>
      <sheetName val="PEG Trading History"/>
      <sheetName val="PE Trading History"/>
      <sheetName val="EV.EBITDA Trading History"/>
      <sheetName val="FCF Yield Trading History"/>
      <sheetName val="Sheet1"/>
      <sheetName val="FactSet"/>
    </sheetNames>
    <sheetDataSet>
      <sheetData sheetId="0"/>
      <sheetData sheetId="1">
        <row r="10">
          <cell r="AO10">
            <v>730.2448778446261</v>
          </cell>
        </row>
      </sheetData>
      <sheetData sheetId="2">
        <row r="3">
          <cell r="A3" t="str">
            <v>Period Ended</v>
          </cell>
        </row>
        <row r="26">
          <cell r="A26" t="str">
            <v xml:space="preserve">Operating Income - GAAP
</v>
          </cell>
          <cell r="B26"/>
          <cell r="C26"/>
          <cell r="D26"/>
          <cell r="E26"/>
          <cell r="F26">
            <v>264.75000000000051</v>
          </cell>
          <cell r="G26"/>
          <cell r="H26"/>
          <cell r="I26"/>
          <cell r="J26"/>
          <cell r="K26">
            <v>297.26100000000019</v>
          </cell>
          <cell r="L26"/>
          <cell r="M26"/>
          <cell r="N26"/>
          <cell r="O26"/>
          <cell r="P26">
            <v>340.70000000000039</v>
          </cell>
          <cell r="Q26"/>
          <cell r="R26"/>
          <cell r="S26"/>
          <cell r="T26"/>
          <cell r="U26">
            <v>377.86699999999945</v>
          </cell>
          <cell r="V26">
            <v>100.1570000000001</v>
          </cell>
          <cell r="W26">
            <v>110.18699999999988</v>
          </cell>
          <cell r="X26">
            <v>113.67599999999993</v>
          </cell>
          <cell r="Y26">
            <v>133.6760000000001</v>
          </cell>
          <cell r="Z26">
            <v>457.69600000000003</v>
          </cell>
          <cell r="AA26">
            <v>134.42400000000009</v>
          </cell>
          <cell r="AB26">
            <v>141.53900000000002</v>
          </cell>
          <cell r="AC26">
            <v>151.43800000000013</v>
          </cell>
          <cell r="AD26">
            <v>112.05000000000007</v>
          </cell>
          <cell r="AE26">
            <v>539.45100000000025</v>
          </cell>
          <cell r="AF26">
            <v>127.02899999999987</v>
          </cell>
          <cell r="AG26">
            <v>135.63235184248987</v>
          </cell>
          <cell r="AH26">
            <v>144.25455115721701</v>
          </cell>
          <cell r="AI26">
            <v>144.50404987212283</v>
          </cell>
          <cell r="AJ26">
            <v>551.41995287182954</v>
          </cell>
          <cell r="AK26"/>
          <cell r="AL26"/>
          <cell r="AM26"/>
          <cell r="AN26"/>
          <cell r="AO26">
            <v>602.48423784462614</v>
          </cell>
          <cell r="AP26"/>
          <cell r="AQ26"/>
          <cell r="AR26"/>
          <cell r="AS26"/>
          <cell r="AT26">
            <v>651.90197455011617</v>
          </cell>
          <cell r="AU26"/>
          <cell r="AV26"/>
          <cell r="AW26"/>
          <cell r="AX26"/>
          <cell r="AY26">
            <v>704.20906825128088</v>
          </cell>
        </row>
        <row r="27">
          <cell r="A27" t="str">
            <v xml:space="preserve">Operating Margin - GAAP
</v>
          </cell>
          <cell r="B27"/>
          <cell r="C27"/>
          <cell r="D27"/>
          <cell r="E27"/>
          <cell r="F27">
            <v>7.0712140025795706E-2</v>
          </cell>
          <cell r="G27"/>
          <cell r="H27"/>
          <cell r="I27"/>
          <cell r="J27"/>
          <cell r="K27">
            <v>6.826340869931849E-2</v>
          </cell>
          <cell r="L27"/>
          <cell r="M27"/>
          <cell r="N27"/>
          <cell r="O27"/>
          <cell r="P27">
            <v>7.6255746599043023E-2</v>
          </cell>
          <cell r="Q27"/>
          <cell r="R27"/>
          <cell r="S27"/>
          <cell r="T27"/>
          <cell r="U27">
            <v>7.5780416943004802E-2</v>
          </cell>
          <cell r="V27">
            <v>7.3461630990940316E-2</v>
          </cell>
          <cell r="W27">
            <v>7.8960550180620204E-2</v>
          </cell>
          <cell r="X27">
            <v>7.7562772925764148E-2</v>
          </cell>
          <cell r="Y27">
            <v>8.9380648724475695E-2</v>
          </cell>
          <cell r="Z27">
            <v>8.0016195685276445E-2</v>
          </cell>
          <cell r="AA27">
            <v>9.2102396290251687E-2</v>
          </cell>
          <cell r="AB27">
            <v>9.6369537642191014E-2</v>
          </cell>
          <cell r="AC27">
            <v>9.7581186634860942E-2</v>
          </cell>
          <cell r="AD27">
            <v>7.1643222506393905E-2</v>
          </cell>
          <cell r="AE27">
            <v>8.9251977330089452E-2</v>
          </cell>
          <cell r="AF27">
            <v>8.5203011876063869E-2</v>
          </cell>
          <cell r="AG27">
            <v>8.7774271466321524E-2</v>
          </cell>
          <cell r="AH27">
            <v>8.8371875688374207E-2</v>
          </cell>
          <cell r="AI27">
            <v>8.7843980012329945E-2</v>
          </cell>
          <cell r="AJ27">
            <v>8.7339756765743154E-2</v>
          </cell>
          <cell r="AK27"/>
          <cell r="AL27"/>
          <cell r="AM27"/>
          <cell r="AN27"/>
          <cell r="AO27">
            <v>9.0918000319400172E-2</v>
          </cell>
          <cell r="AP27"/>
          <cell r="AQ27"/>
          <cell r="AR27"/>
          <cell r="AS27"/>
          <cell r="AT27">
            <v>9.3281866786880496E-2</v>
          </cell>
          <cell r="AU27"/>
          <cell r="AV27"/>
          <cell r="AW27"/>
          <cell r="AX27"/>
          <cell r="AY27">
            <v>9.55492521115133E-2</v>
          </cell>
        </row>
        <row r="47">
          <cell r="A47" t="str">
            <v>Weighted Average Diluted Shares Outstanding</v>
          </cell>
          <cell r="B47"/>
          <cell r="C47"/>
          <cell r="D47"/>
          <cell r="E47"/>
          <cell r="F47">
            <v>24.802</v>
          </cell>
          <cell r="G47"/>
          <cell r="H47"/>
          <cell r="I47"/>
          <cell r="J47"/>
          <cell r="K47">
            <v>25.068999999999999</v>
          </cell>
          <cell r="L47"/>
          <cell r="M47"/>
          <cell r="N47"/>
          <cell r="O47"/>
          <cell r="P47">
            <v>25.254999999999999</v>
          </cell>
          <cell r="Q47"/>
          <cell r="R47"/>
          <cell r="S47"/>
          <cell r="T47"/>
          <cell r="U47">
            <v>25.395</v>
          </cell>
          <cell r="V47">
            <v>25.532</v>
          </cell>
          <cell r="W47">
            <v>25.434999999999999</v>
          </cell>
          <cell r="X47">
            <v>25.478000000000002</v>
          </cell>
          <cell r="Y47">
            <v>25.495999999999999</v>
          </cell>
          <cell r="Z47">
            <v>25.485249999999997</v>
          </cell>
          <cell r="AA47">
            <v>25.486000000000001</v>
          </cell>
          <cell r="AB47">
            <v>25.451000000000001</v>
          </cell>
          <cell r="AC47">
            <v>25.166</v>
          </cell>
          <cell r="AD47">
            <v>23.856000000000002</v>
          </cell>
          <cell r="AE47">
            <v>24.989750000000001</v>
          </cell>
          <cell r="AF47">
            <v>23.844000000000001</v>
          </cell>
          <cell r="AG47">
            <v>23.944000000000003</v>
          </cell>
          <cell r="AH47">
            <v>23.944000000000003</v>
          </cell>
          <cell r="AI47">
            <v>23.944000000000003</v>
          </cell>
          <cell r="AJ47">
            <v>23.919</v>
          </cell>
          <cell r="AK47"/>
          <cell r="AL47"/>
          <cell r="AM47"/>
          <cell r="AN47"/>
          <cell r="AO47">
            <v>23.919</v>
          </cell>
          <cell r="AP47"/>
          <cell r="AQ47"/>
          <cell r="AR47"/>
          <cell r="AS47"/>
          <cell r="AT47">
            <v>23.894000000000002</v>
          </cell>
          <cell r="AU47"/>
          <cell r="AV47"/>
          <cell r="AW47"/>
          <cell r="AX47"/>
          <cell r="AY47">
            <v>23.869000000000003</v>
          </cell>
        </row>
        <row r="60">
          <cell r="A60" t="str">
            <v>Adjusted EBITDA</v>
          </cell>
          <cell r="B60"/>
          <cell r="C60"/>
          <cell r="D60"/>
          <cell r="E60"/>
          <cell r="F60">
            <v>330.36500000000052</v>
          </cell>
          <cell r="G60"/>
          <cell r="H60"/>
          <cell r="I60"/>
          <cell r="J60"/>
          <cell r="K60">
            <v>369.90400000000017</v>
          </cell>
          <cell r="L60"/>
          <cell r="M60"/>
          <cell r="N60"/>
          <cell r="O60"/>
          <cell r="P60">
            <v>412.9060000000004</v>
          </cell>
          <cell r="Q60"/>
          <cell r="R60"/>
          <cell r="S60"/>
          <cell r="T60"/>
          <cell r="U60">
            <v>464.74399999999946</v>
          </cell>
          <cell r="V60">
            <v>128.31100000000009</v>
          </cell>
          <cell r="W60">
            <v>140.90199999999987</v>
          </cell>
          <cell r="X60">
            <v>141.43199999999993</v>
          </cell>
          <cell r="Y60">
            <v>162.94000000000011</v>
          </cell>
          <cell r="Z60">
            <v>573.58500000000004</v>
          </cell>
          <cell r="AA60">
            <v>165.43600000000009</v>
          </cell>
          <cell r="AB60">
            <v>174.58</v>
          </cell>
          <cell r="AC60">
            <v>183.65100000000012</v>
          </cell>
          <cell r="AD60">
            <v>144.91500000000008</v>
          </cell>
          <cell r="AE60">
            <v>668.58200000000022</v>
          </cell>
          <cell r="AF60">
            <v>160.93999999999988</v>
          </cell>
          <cell r="AG60">
            <v>168.22435184248988</v>
          </cell>
          <cell r="AH60">
            <v>176.84655115721702</v>
          </cell>
          <cell r="AI60">
            <v>177.09604987212282</v>
          </cell>
          <cell r="AJ60">
            <v>683.10695287182966</v>
          </cell>
          <cell r="AK60"/>
          <cell r="AL60"/>
          <cell r="AM60"/>
          <cell r="AN60"/>
          <cell r="AO60">
            <v>730.2448778446261</v>
          </cell>
          <cell r="AP60"/>
          <cell r="AQ60"/>
          <cell r="AR60"/>
          <cell r="AS60"/>
          <cell r="AT60">
            <v>777.1074017501162</v>
          </cell>
          <cell r="AU60"/>
          <cell r="AV60"/>
          <cell r="AW60"/>
          <cell r="AX60"/>
          <cell r="AY60">
            <v>826.91038690728089</v>
          </cell>
        </row>
        <row r="61">
          <cell r="A61" t="str">
            <v>Adjusted EBITDA Margin</v>
          </cell>
          <cell r="B61"/>
          <cell r="C61"/>
          <cell r="D61"/>
          <cell r="E61"/>
          <cell r="F61">
            <v>8.8237265872037729E-2</v>
          </cell>
          <cell r="G61"/>
          <cell r="H61"/>
          <cell r="I61"/>
          <cell r="J61"/>
          <cell r="K61">
            <v>8.4945243175232207E-2</v>
          </cell>
          <cell r="L61"/>
          <cell r="M61"/>
          <cell r="N61"/>
          <cell r="O61"/>
          <cell r="P61">
            <v>9.2416951292117563E-2</v>
          </cell>
          <cell r="Q61"/>
          <cell r="R61"/>
          <cell r="S61"/>
          <cell r="T61"/>
          <cell r="U61">
            <v>9.3203413083862402E-2</v>
          </cell>
          <cell r="V61">
            <v>9.4111598131718599E-2</v>
          </cell>
          <cell r="W61">
            <v>0.10097107137457005</v>
          </cell>
          <cell r="X61">
            <v>9.6501091703056721E-2</v>
          </cell>
          <cell r="Y61">
            <v>0.10894762637396443</v>
          </cell>
          <cell r="Z61">
            <v>0.10027636160713507</v>
          </cell>
          <cell r="AA61">
            <v>0.11335068166900313</v>
          </cell>
          <cell r="AB61">
            <v>0.11886613499864848</v>
          </cell>
          <cell r="AC61">
            <v>0.11833808229558528</v>
          </cell>
          <cell r="AD61">
            <v>9.2656649616368339E-2</v>
          </cell>
          <cell r="AE61">
            <v>0.11061665565047772</v>
          </cell>
          <cell r="AF61">
            <v>0.10794836400612241</v>
          </cell>
          <cell r="AG61">
            <v>0.10886613499864849</v>
          </cell>
          <cell r="AH61">
            <v>0.10833808229558528</v>
          </cell>
          <cell r="AI61">
            <v>0.10765664961636834</v>
          </cell>
          <cell r="AJ61">
            <v>0.10819774438354668</v>
          </cell>
          <cell r="AK61"/>
          <cell r="AL61"/>
          <cell r="AM61"/>
          <cell r="AN61"/>
          <cell r="AO61">
            <v>0.11019774438354668</v>
          </cell>
          <cell r="AP61"/>
          <cell r="AQ61"/>
          <cell r="AR61"/>
          <cell r="AS61"/>
          <cell r="AT61">
            <v>0.11119774438354668</v>
          </cell>
          <cell r="AU61">
            <v>1E-3</v>
          </cell>
          <cell r="AV61">
            <v>1E-3</v>
          </cell>
          <cell r="AW61">
            <v>1E-3</v>
          </cell>
          <cell r="AX61">
            <v>1E-3</v>
          </cell>
          <cell r="AY61">
            <v>0.11219774438354668</v>
          </cell>
        </row>
        <row r="88">
          <cell r="A88" t="str">
            <v>Cash Net Income (excl. intangible amortization)</v>
          </cell>
          <cell r="B88"/>
          <cell r="C88"/>
          <cell r="D88"/>
          <cell r="E88"/>
          <cell r="F88"/>
          <cell r="G88"/>
          <cell r="H88"/>
          <cell r="I88"/>
          <cell r="J88"/>
          <cell r="K88"/>
          <cell r="L88"/>
          <cell r="M88"/>
          <cell r="N88"/>
          <cell r="O88"/>
          <cell r="P88"/>
          <cell r="Q88"/>
          <cell r="R88"/>
          <cell r="S88"/>
          <cell r="T88"/>
          <cell r="U88"/>
          <cell r="V88"/>
          <cell r="W88"/>
          <cell r="X88">
            <v>91.376999999999924</v>
          </cell>
          <cell r="Y88">
            <v>104.5170000000001</v>
          </cell>
          <cell r="Z88">
            <v>365.16800000000006</v>
          </cell>
          <cell r="AA88">
            <v>105.53600000000009</v>
          </cell>
          <cell r="AB88">
            <v>119.36000000000003</v>
          </cell>
          <cell r="AC88">
            <v>132.86900000000014</v>
          </cell>
          <cell r="AD88">
            <v>149.43100000000004</v>
          </cell>
          <cell r="AE88">
            <v>507.19600000000031</v>
          </cell>
          <cell r="AF88">
            <v>101.07599999999987</v>
          </cell>
          <cell r="AG88">
            <v>107.57541034107516</v>
          </cell>
          <cell r="AH88">
            <v>114.08905902299757</v>
          </cell>
          <cell r="AI88">
            <v>114.27754306473294</v>
          </cell>
          <cell r="AJ88">
            <v>437.01801242880555</v>
          </cell>
          <cell r="AK88"/>
          <cell r="AL88"/>
          <cell r="AM88"/>
          <cell r="AN88"/>
          <cell r="AO88">
            <v>474.55721513227314</v>
          </cell>
          <cell r="AP88"/>
          <cell r="AQ88"/>
          <cell r="AR88"/>
          <cell r="AS88"/>
          <cell r="AT88">
            <v>510.87327857944598</v>
          </cell>
          <cell r="AU88"/>
          <cell r="AV88"/>
          <cell r="AW88"/>
          <cell r="AX88"/>
          <cell r="AY88">
            <v>549.39244177609748</v>
          </cell>
        </row>
        <row r="91">
          <cell r="A91" t="str">
            <v>Cash EPS (excl. intangible amortization)</v>
          </cell>
          <cell r="B91"/>
          <cell r="C91"/>
          <cell r="D91"/>
          <cell r="E91"/>
          <cell r="F91"/>
          <cell r="G91"/>
          <cell r="H91"/>
          <cell r="I91"/>
          <cell r="J91"/>
          <cell r="K91"/>
          <cell r="L91"/>
          <cell r="M91"/>
          <cell r="N91"/>
          <cell r="O91"/>
          <cell r="P91"/>
          <cell r="Q91"/>
          <cell r="R91"/>
          <cell r="S91"/>
          <cell r="T91"/>
          <cell r="U91"/>
          <cell r="V91"/>
          <cell r="W91"/>
          <cell r="X91">
            <v>3.5865060051809374</v>
          </cell>
          <cell r="Y91">
            <v>4.099348917477255</v>
          </cell>
          <cell r="Z91">
            <v>14.328601838318248</v>
          </cell>
          <cell r="AA91">
            <v>4.1409401239896448</v>
          </cell>
          <cell r="AB91">
            <v>4.6897960787395396</v>
          </cell>
          <cell r="AC91">
            <v>5.2797027735834119</v>
          </cell>
          <cell r="AD91">
            <v>6.2638749161636502</v>
          </cell>
          <cell r="AE91">
            <v>20.296161426184746</v>
          </cell>
          <cell r="AF91">
            <v>4.239053850025158</v>
          </cell>
          <cell r="AG91">
            <v>4.4927919454174381</v>
          </cell>
          <cell r="AH91">
            <v>4.764828726319644</v>
          </cell>
          <cell r="AI91">
            <v>4.7727005957539648</v>
          </cell>
          <cell r="AJ91">
            <v>18.270747624432691</v>
          </cell>
          <cell r="AK91"/>
          <cell r="AL91"/>
          <cell r="AM91"/>
          <cell r="AN91"/>
          <cell r="AO91">
            <v>19.840177897582389</v>
          </cell>
          <cell r="AP91"/>
          <cell r="AQ91"/>
          <cell r="AR91"/>
          <cell r="AS91"/>
          <cell r="AT91">
            <v>21.380818556099687</v>
          </cell>
          <cell r="AU91"/>
          <cell r="AV91"/>
          <cell r="AW91"/>
          <cell r="AX91"/>
          <cell r="AY91">
            <v>23.016986123260189</v>
          </cell>
        </row>
        <row r="137">
          <cell r="A137" t="str">
            <v>Cash used (provided) by MARPA</v>
          </cell>
          <cell r="B137"/>
          <cell r="C137"/>
          <cell r="D137"/>
          <cell r="E137"/>
          <cell r="F137"/>
          <cell r="G137"/>
          <cell r="H137"/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>
            <v>-192.25700000000001</v>
          </cell>
          <cell r="V137">
            <v>11.423999999999999</v>
          </cell>
          <cell r="W137">
            <v>-16.334</v>
          </cell>
          <cell r="X137">
            <v>3.9380000000000002</v>
          </cell>
          <cell r="Y137">
            <v>-6.5010000000000003</v>
          </cell>
          <cell r="Z137">
            <v>-7.4729999999999999</v>
          </cell>
          <cell r="AA137">
            <v>15.795</v>
          </cell>
          <cell r="AB137">
            <v>-15.553000000000001</v>
          </cell>
          <cell r="AC137">
            <v>9.8979999999999997</v>
          </cell>
          <cell r="AD137">
            <v>7.8330000000000002</v>
          </cell>
          <cell r="AE137">
            <v>17.972999999999999</v>
          </cell>
          <cell r="AF137">
            <v>-11.489000000000001</v>
          </cell>
          <cell r="AG137"/>
          <cell r="AH137"/>
          <cell r="AI137"/>
          <cell r="AJ137"/>
          <cell r="AK137"/>
          <cell r="AL137"/>
          <cell r="AM137"/>
          <cell r="AN137"/>
          <cell r="AO137"/>
          <cell r="AP137"/>
          <cell r="AQ137"/>
          <cell r="AR137"/>
          <cell r="AS137"/>
          <cell r="AT137"/>
          <cell r="AU137"/>
          <cell r="AV137"/>
          <cell r="AW137"/>
          <cell r="AX137"/>
          <cell r="AY137"/>
        </row>
        <row r="138">
          <cell r="A138" t="str">
            <v>Free Cash Flow (ex. MARPA)</v>
          </cell>
          <cell r="B138"/>
          <cell r="C138"/>
          <cell r="D138"/>
          <cell r="E138"/>
          <cell r="F138">
            <v>221.74200000000056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237.98200000000028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283.53300000000041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315.13799999999935</v>
          </cell>
          <cell r="V138">
            <v>92.092000000000098</v>
          </cell>
          <cell r="W138">
            <v>98.987999999999857</v>
          </cell>
          <cell r="X138">
            <v>111.44199999999992</v>
          </cell>
          <cell r="Y138">
            <v>136.40700000000007</v>
          </cell>
          <cell r="Z138">
            <v>438.92900000000003</v>
          </cell>
          <cell r="AA138">
            <v>176.4130000000001</v>
          </cell>
          <cell r="AB138">
            <v>174.24300000000002</v>
          </cell>
          <cell r="AC138">
            <v>108.72700000000015</v>
          </cell>
          <cell r="AD138">
            <v>77.675999999999988</v>
          </cell>
          <cell r="AE138">
            <v>537.0590000000002</v>
          </cell>
          <cell r="AF138">
            <v>164.26099999999985</v>
          </cell>
          <cell r="AG138">
            <v>101.88734264287967</v>
          </cell>
          <cell r="AH138">
            <v>94.42371636581538</v>
          </cell>
          <cell r="AI138">
            <v>389.09618190186507</v>
          </cell>
          <cell r="AJ138">
            <v>761.15724091056018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O138">
            <v>577.0838857967874</v>
          </cell>
          <cell r="AP138">
            <v>0</v>
          </cell>
          <cell r="AQ138">
            <v>0</v>
          </cell>
          <cell r="AR138">
            <v>0</v>
          </cell>
          <cell r="AS138">
            <v>0</v>
          </cell>
          <cell r="AT138">
            <v>611.35988415976317</v>
          </cell>
          <cell r="AU138">
            <v>0</v>
          </cell>
          <cell r="AV138">
            <v>0</v>
          </cell>
          <cell r="AW138">
            <v>0</v>
          </cell>
          <cell r="AX138">
            <v>0</v>
          </cell>
          <cell r="AY138">
            <v>648.14993832368509</v>
          </cell>
        </row>
        <row r="209">
          <cell r="A209" t="str">
            <v>Funded</v>
          </cell>
          <cell r="B209"/>
          <cell r="C209"/>
          <cell r="D209"/>
          <cell r="E209"/>
          <cell r="F209">
            <v>2.2999999999999998</v>
          </cell>
          <cell r="G209"/>
          <cell r="H209"/>
          <cell r="I209"/>
          <cell r="J209"/>
          <cell r="K209">
            <v>1.9</v>
          </cell>
          <cell r="L209"/>
          <cell r="M209"/>
          <cell r="N209"/>
          <cell r="O209"/>
          <cell r="P209">
            <v>2.1</v>
          </cell>
          <cell r="Q209"/>
          <cell r="R209"/>
          <cell r="S209"/>
          <cell r="T209"/>
          <cell r="U209">
            <v>2.9</v>
          </cell>
          <cell r="V209">
            <v>3.3</v>
          </cell>
          <cell r="W209">
            <v>2.8</v>
          </cell>
          <cell r="X209">
            <v>3</v>
          </cell>
          <cell r="Y209">
            <v>2.8</v>
          </cell>
          <cell r="Z209">
            <v>2.8</v>
          </cell>
          <cell r="AA209">
            <v>3.4</v>
          </cell>
          <cell r="AB209">
            <v>2.9</v>
          </cell>
          <cell r="AC209">
            <v>3</v>
          </cell>
          <cell r="AD209">
            <v>3.3</v>
          </cell>
          <cell r="AE209">
            <v>3.3</v>
          </cell>
          <cell r="AF209">
            <v>3.5</v>
          </cell>
          <cell r="AG209"/>
          <cell r="AH209"/>
          <cell r="AI209"/>
          <cell r="AJ209"/>
          <cell r="AK209"/>
          <cell r="AL209"/>
          <cell r="AM209"/>
          <cell r="AN209"/>
          <cell r="AO209"/>
          <cell r="AP209"/>
          <cell r="AQ209"/>
          <cell r="AR209"/>
          <cell r="AS209"/>
          <cell r="AT209"/>
          <cell r="AU209"/>
          <cell r="AV209"/>
          <cell r="AW209"/>
          <cell r="AX209"/>
          <cell r="AY209"/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"/>
      <sheetName val="Cover"/>
      <sheetName val="Summary"/>
      <sheetName val="Main Worksheet"/>
      <sheetName val="Valuation"/>
      <sheetName val="Relative PE"/>
      <sheetName val="PEG Trading History"/>
      <sheetName val="PE Trading History"/>
      <sheetName val="EV.EBITDA Trading History"/>
      <sheetName val="FCF Yield Trading History"/>
      <sheetName val="Guidance"/>
      <sheetName val="EBITDA Regression with Non-Avia"/>
      <sheetName val="FactSet"/>
      <sheetName val="BA Deliveries 2018 - 2021 Raw"/>
      <sheetName val="BA Delivs 2018 - 2021 Pivot"/>
      <sheetName val="Valuation (2)"/>
    </sheetNames>
    <sheetDataSet>
      <sheetData sheetId="0"/>
      <sheetData sheetId="1"/>
      <sheetData sheetId="2"/>
      <sheetData sheetId="3">
        <row r="2">
          <cell r="A2"/>
        </row>
        <row r="124">
          <cell r="A124" t="str">
            <v>Adjusted EPS</v>
          </cell>
          <cell r="B124"/>
          <cell r="C124"/>
          <cell r="D124"/>
          <cell r="E124"/>
          <cell r="F124">
            <v>11.483804334277115</v>
          </cell>
          <cell r="G124"/>
          <cell r="H124"/>
          <cell r="I124"/>
          <cell r="J124"/>
          <cell r="K124">
            <v>12.379884746983612</v>
          </cell>
          <cell r="L124">
            <v>5.5767446043165458</v>
          </cell>
          <cell r="M124">
            <v>3.7917633306357361</v>
          </cell>
          <cell r="N124">
            <v>4.0149828228141802</v>
          </cell>
          <cell r="O124">
            <v>4.4430254519291354</v>
          </cell>
          <cell r="P124">
            <v>17.827202906631658</v>
          </cell>
          <cell r="Q124">
            <v>3.84955595026643</v>
          </cell>
          <cell r="R124">
            <v>4.1563055062166967</v>
          </cell>
          <cell r="S124">
            <v>4.6536412078152756</v>
          </cell>
          <cell r="T124">
            <v>5.6127886323268212</v>
          </cell>
          <cell r="U124">
            <v>18.272291296625223</v>
          </cell>
          <cell r="V124">
            <v>4.9303135888501739</v>
          </cell>
          <cell r="W124">
            <v>5.0871080139372822</v>
          </cell>
          <cell r="X124">
            <v>1.5357766143106457</v>
          </cell>
          <cell r="Y124">
            <v>2.8883071553228623</v>
          </cell>
          <cell r="Z124">
            <v>14.458987783595115</v>
          </cell>
          <cell r="AA124">
            <v>1.9691780821917808</v>
          </cell>
          <cell r="AB124">
            <v>2.5856164383561646</v>
          </cell>
          <cell r="AC124">
            <v>3.3219178082191783</v>
          </cell>
          <cell r="AD124">
            <v>4.2636986301369868</v>
          </cell>
          <cell r="AE124">
            <v>12.152896811792937</v>
          </cell>
          <cell r="AF124">
            <v>3.552971424084272</v>
          </cell>
          <cell r="AG124">
            <v>4.0839818128031933</v>
          </cell>
          <cell r="AH124">
            <v>4.5503007101719808</v>
          </cell>
          <cell r="AI124">
            <v>4.5096762278521423</v>
          </cell>
          <cell r="AJ124">
            <v>16.700285798842494</v>
          </cell>
          <cell r="AK124">
            <v>4.5569358708826746</v>
          </cell>
          <cell r="AL124">
            <v>5.0708120630005329</v>
          </cell>
          <cell r="AM124">
            <v>5.5966773215654415</v>
          </cell>
          <cell r="AN124">
            <v>5.7440728733515956</v>
          </cell>
          <cell r="AO124">
            <v>20.969712097343631</v>
          </cell>
          <cell r="AP124">
            <v>5.7809089734500407</v>
          </cell>
          <cell r="AQ124">
            <v>5.9567521102685825</v>
          </cell>
          <cell r="AR124">
            <v>6.1257094709906807</v>
          </cell>
          <cell r="AS124">
            <v>6.2490562575785944</v>
          </cell>
          <cell r="AT124">
            <v>24.1128930223779</v>
          </cell>
        </row>
        <row r="145">
          <cell r="A145" t="str">
            <v>EBITDA as Defined</v>
          </cell>
          <cell r="B145"/>
          <cell r="C145"/>
          <cell r="D145"/>
          <cell r="E145"/>
          <cell r="F145">
            <v>1495.23</v>
          </cell>
          <cell r="G145"/>
          <cell r="H145"/>
          <cell r="I145"/>
          <cell r="J145"/>
          <cell r="K145">
            <v>1710.5629999999999</v>
          </cell>
          <cell r="L145">
            <v>401.51499999999993</v>
          </cell>
          <cell r="M145">
            <v>463.12299999999999</v>
          </cell>
          <cell r="N145">
            <v>487.14099999999996</v>
          </cell>
          <cell r="O145">
            <v>524.73000000000036</v>
          </cell>
          <cell r="P145">
            <v>1876.5090000000005</v>
          </cell>
          <cell r="Q145">
            <v>487.14800000000002</v>
          </cell>
          <cell r="R145">
            <v>565.58199999999999</v>
          </cell>
          <cell r="S145">
            <v>659</v>
          </cell>
          <cell r="T145">
            <v>707</v>
          </cell>
          <cell r="U145">
            <v>2418.73</v>
          </cell>
          <cell r="V145">
            <v>681</v>
          </cell>
          <cell r="W145">
            <v>675</v>
          </cell>
          <cell r="X145">
            <v>424</v>
          </cell>
          <cell r="Y145">
            <v>498</v>
          </cell>
          <cell r="Z145">
            <v>2278</v>
          </cell>
          <cell r="AA145">
            <v>474</v>
          </cell>
          <cell r="AB145">
            <v>518</v>
          </cell>
          <cell r="AC145">
            <v>559</v>
          </cell>
          <cell r="AD145">
            <v>637</v>
          </cell>
          <cell r="AE145">
            <v>2188</v>
          </cell>
          <cell r="AF145">
            <v>617.53179999999986</v>
          </cell>
          <cell r="AG145">
            <v>660.78789999999992</v>
          </cell>
          <cell r="AH145">
            <v>697.18612000000007</v>
          </cell>
          <cell r="AI145">
            <v>695.54822999999999</v>
          </cell>
          <cell r="AJ145">
            <v>2671.0540499999997</v>
          </cell>
          <cell r="AK145">
            <v>687.00162320000004</v>
          </cell>
          <cell r="AL145">
            <v>728.68106699999998</v>
          </cell>
          <cell r="AM145">
            <v>769.56973525000001</v>
          </cell>
          <cell r="AN145">
            <v>782.71575654999913</v>
          </cell>
          <cell r="AO145">
            <v>2967.9681819999992</v>
          </cell>
          <cell r="AP145">
            <v>784.56854059999978</v>
          </cell>
          <cell r="AQ145">
            <v>800.93042040000023</v>
          </cell>
          <cell r="AR145">
            <v>814.00847144375007</v>
          </cell>
          <cell r="AS145">
            <v>824.74317130625036</v>
          </cell>
          <cell r="AT145">
            <v>3224.2506037500007</v>
          </cell>
        </row>
        <row r="178">
          <cell r="A178" t="str">
            <v>Operating Cash Flow</v>
          </cell>
          <cell r="B178"/>
          <cell r="C178"/>
          <cell r="D178"/>
          <cell r="E178"/>
          <cell r="F178">
            <v>683.29800000000012</v>
          </cell>
          <cell r="G178"/>
          <cell r="H178"/>
          <cell r="I178"/>
          <cell r="J178"/>
          <cell r="K178">
            <v>788.73299999999995</v>
          </cell>
          <cell r="L178">
            <v>292.79300000000001</v>
          </cell>
          <cell r="M178">
            <v>160.87300000000005</v>
          </cell>
          <cell r="N178">
            <v>237.226</v>
          </cell>
          <cell r="O178">
            <v>330.5950000000002</v>
          </cell>
          <cell r="P178">
            <v>1021.4870000000003</v>
          </cell>
          <cell r="Q178">
            <v>329.88799999999998</v>
          </cell>
          <cell r="R178">
            <v>123.78599999999994</v>
          </cell>
          <cell r="S178">
            <v>315</v>
          </cell>
          <cell r="T178">
            <v>247</v>
          </cell>
          <cell r="U178">
            <v>1015.674</v>
          </cell>
          <cell r="V178">
            <v>433</v>
          </cell>
          <cell r="W178">
            <v>161</v>
          </cell>
          <cell r="X178">
            <v>397</v>
          </cell>
          <cell r="Y178">
            <v>222</v>
          </cell>
          <cell r="Z178">
            <v>1213</v>
          </cell>
          <cell r="AA178">
            <v>274</v>
          </cell>
          <cell r="AB178">
            <v>98</v>
          </cell>
          <cell r="AC178">
            <v>252</v>
          </cell>
          <cell r="AD178">
            <v>289</v>
          </cell>
          <cell r="AE178">
            <v>913</v>
          </cell>
          <cell r="AF178">
            <v>309.52288399999998</v>
          </cell>
          <cell r="AG178">
            <v>212.61040599999976</v>
          </cell>
          <cell r="AH178">
            <v>262.67880160000004</v>
          </cell>
          <cell r="AI178">
            <v>316.7226754000003</v>
          </cell>
          <cell r="AJ178">
            <v>1101.5347670000001</v>
          </cell>
          <cell r="AK178">
            <v>431.45287761999953</v>
          </cell>
          <cell r="AL178">
            <v>205.6823549260003</v>
          </cell>
          <cell r="AM178">
            <v>323.24097464749968</v>
          </cell>
          <cell r="AN178">
            <v>448.95095195000033</v>
          </cell>
          <cell r="AO178">
            <v>1409.3271591435</v>
          </cell>
          <cell r="AP178">
            <v>414.12050075949935</v>
          </cell>
          <cell r="AQ178">
            <v>408.41155194699934</v>
          </cell>
          <cell r="AR178">
            <v>430.68668423112587</v>
          </cell>
          <cell r="AS178">
            <v>444.62835135387422</v>
          </cell>
          <cell r="AT178">
            <v>1697.8470882914989</v>
          </cell>
        </row>
        <row r="284">
          <cell r="A284" t="str">
            <v>Total Cash</v>
          </cell>
          <cell r="B284"/>
          <cell r="C284"/>
          <cell r="D284"/>
          <cell r="E284"/>
          <cell r="F284">
            <v>1586.9939999999999</v>
          </cell>
          <cell r="G284"/>
          <cell r="H284"/>
          <cell r="I284"/>
          <cell r="J284"/>
          <cell r="K284">
            <v>650.56100000000004</v>
          </cell>
          <cell r="L284">
            <v>857.86199999999997</v>
          </cell>
          <cell r="M284">
            <v>1011.0069999999999</v>
          </cell>
          <cell r="N284">
            <v>1853.373</v>
          </cell>
          <cell r="O284">
            <v>2073.0169999999998</v>
          </cell>
          <cell r="P284">
            <v>2073.0169999999998</v>
          </cell>
          <cell r="Q284">
            <v>2337.3159999999998</v>
          </cell>
          <cell r="R284">
            <v>2828.9019999999996</v>
          </cell>
          <cell r="S284">
            <v>2716.8119999999999</v>
          </cell>
          <cell r="T284">
            <v>1467</v>
          </cell>
          <cell r="U284">
            <v>1467</v>
          </cell>
          <cell r="V284">
            <v>4194</v>
          </cell>
          <cell r="W284">
            <v>2668</v>
          </cell>
          <cell r="X284">
            <v>4549</v>
          </cell>
          <cell r="Y284">
            <v>4717</v>
          </cell>
          <cell r="Z284">
            <v>4717</v>
          </cell>
          <cell r="AA284">
            <v>4907</v>
          </cell>
          <cell r="AB284">
            <v>4072</v>
          </cell>
          <cell r="AC284">
            <v>4529</v>
          </cell>
          <cell r="AD284">
            <v>4787</v>
          </cell>
          <cell r="AE284">
            <v>4787</v>
          </cell>
          <cell r="AF284">
            <v>4841.272884</v>
          </cell>
          <cell r="AG284">
            <v>4998.6332899999998</v>
          </cell>
          <cell r="AH284">
            <v>5206.0620915999998</v>
          </cell>
          <cell r="AI284">
            <v>5467.5347670000001</v>
          </cell>
          <cell r="AJ284">
            <v>5467.5347670000001</v>
          </cell>
          <cell r="AK284">
            <v>5851.2376446199996</v>
          </cell>
          <cell r="AL284">
            <v>6009.1699995460003</v>
          </cell>
          <cell r="AM284">
            <v>6284.6609741934999</v>
          </cell>
          <cell r="AN284">
            <v>6685.8619261435006</v>
          </cell>
          <cell r="AO284">
            <v>6685.8619261435006</v>
          </cell>
          <cell r="AP284">
            <v>7050.9824269029996</v>
          </cell>
          <cell r="AQ284">
            <v>7410.3939788499993</v>
          </cell>
          <cell r="AR284">
            <v>7792.0806630811248</v>
          </cell>
          <cell r="AS284">
            <v>8187.7090144349986</v>
          </cell>
          <cell r="AT284">
            <v>8187.7090144349986</v>
          </cell>
        </row>
      </sheetData>
      <sheetData sheetId="4"/>
      <sheetData sheetId="5">
        <row r="3">
          <cell r="C3" t="str">
            <v>FY1 Rel. PE</v>
          </cell>
        </row>
      </sheetData>
      <sheetData sheetId="6">
        <row r="2">
          <cell r="C2" t="str">
            <v>FY1 PEG</v>
          </cell>
        </row>
      </sheetData>
      <sheetData sheetId="7">
        <row r="2">
          <cell r="C2" t="str">
            <v>FY1 PE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"/>
      <sheetName val="Cover"/>
      <sheetName val="Summary"/>
      <sheetName val="Main"/>
      <sheetName val="BCA Estimate Summary"/>
      <sheetName val="Valuation"/>
      <sheetName val="FactSet"/>
      <sheetName val="Relative PE"/>
      <sheetName val="Updated PEG"/>
      <sheetName val="PEG Trading History"/>
      <sheetName val="PE Trading History"/>
      <sheetName val="EV.EBITDA Trading History"/>
      <sheetName val="FCF Yield Trading History"/>
      <sheetName val="737 Build"/>
      <sheetName val="747 Build"/>
      <sheetName val="767 Build"/>
      <sheetName val="777 Build"/>
      <sheetName val="787 Build"/>
      <sheetName val="737 PDP Math"/>
      <sheetName val="777X PDP Math"/>
      <sheetName val="787 PDP Math"/>
      <sheetName val="777X Learning Curve Illustratio"/>
      <sheetName val="BGS Revenue Forecast"/>
      <sheetName val="Fixed Cost Estimates"/>
      <sheetName val="BA Accounting Consideration"/>
      <sheetName val="MAX Debacle"/>
      <sheetName val="BCA Revenue Build"/>
      <sheetName val="Accrued Liabilities"/>
      <sheetName val="Sheet3"/>
      <sheetName val="MainOld"/>
      <sheetName val="BCA"/>
      <sheetName val="Backlog"/>
      <sheetName val="Cirium Pull"/>
      <sheetName val="Quarterly Analysis"/>
    </sheetNames>
    <sheetDataSet>
      <sheetData sheetId="0"/>
      <sheetData sheetId="1"/>
      <sheetData sheetId="2">
        <row r="39">
          <cell r="Z39">
            <v>1.6330202015612592</v>
          </cell>
        </row>
      </sheetData>
      <sheetData sheetId="3">
        <row r="4">
          <cell r="A4" t="str">
            <v>Period Ending</v>
          </cell>
          <cell r="B4">
            <v>42369</v>
          </cell>
          <cell r="C4">
            <v>42735</v>
          </cell>
          <cell r="D4">
            <v>43100</v>
          </cell>
          <cell r="E4">
            <v>43465</v>
          </cell>
          <cell r="F4">
            <v>43555</v>
          </cell>
          <cell r="G4">
            <v>43646</v>
          </cell>
          <cell r="H4">
            <v>43738</v>
          </cell>
          <cell r="I4">
            <v>43830</v>
          </cell>
          <cell r="J4">
            <v>43830</v>
          </cell>
          <cell r="K4">
            <v>43921</v>
          </cell>
          <cell r="L4">
            <v>44012</v>
          </cell>
          <cell r="M4">
            <v>44104</v>
          </cell>
          <cell r="N4">
            <v>44196</v>
          </cell>
          <cell r="O4">
            <v>44196</v>
          </cell>
          <cell r="P4">
            <v>44286</v>
          </cell>
          <cell r="Q4">
            <v>44377</v>
          </cell>
          <cell r="R4">
            <v>44469</v>
          </cell>
          <cell r="S4">
            <v>44561</v>
          </cell>
          <cell r="T4">
            <v>44561</v>
          </cell>
          <cell r="U4">
            <v>44651</v>
          </cell>
          <cell r="V4">
            <v>44742</v>
          </cell>
          <cell r="W4">
            <v>44834</v>
          </cell>
          <cell r="X4">
            <v>44926</v>
          </cell>
          <cell r="Y4">
            <v>44926</v>
          </cell>
          <cell r="Z4">
            <v>45291</v>
          </cell>
          <cell r="AA4">
            <v>45657</v>
          </cell>
          <cell r="AB4">
            <v>46022</v>
          </cell>
        </row>
        <row r="5">
          <cell r="A5" t="str">
            <v>Period</v>
          </cell>
          <cell r="B5">
            <v>2015</v>
          </cell>
          <cell r="C5">
            <v>2016</v>
          </cell>
          <cell r="D5">
            <v>2017</v>
          </cell>
          <cell r="E5">
            <v>2018</v>
          </cell>
          <cell r="F5" t="str">
            <v>Q1'19</v>
          </cell>
          <cell r="G5" t="str">
            <v>Q2'19</v>
          </cell>
          <cell r="H5" t="str">
            <v>Q3'19</v>
          </cell>
          <cell r="I5" t="str">
            <v>Q4'19</v>
          </cell>
          <cell r="J5">
            <v>2019</v>
          </cell>
          <cell r="K5" t="str">
            <v>Q1'20</v>
          </cell>
          <cell r="L5" t="str">
            <v>Q2'20</v>
          </cell>
          <cell r="M5" t="str">
            <v>Q3'20</v>
          </cell>
          <cell r="N5" t="str">
            <v>Q4'20</v>
          </cell>
          <cell r="O5">
            <v>2020</v>
          </cell>
          <cell r="P5" t="str">
            <v>Q1'21</v>
          </cell>
          <cell r="Q5" t="str">
            <v>Q2'21</v>
          </cell>
          <cell r="R5" t="str">
            <v>Q3'21</v>
          </cell>
          <cell r="S5" t="str">
            <v>Q4'21e</v>
          </cell>
          <cell r="T5" t="str">
            <v>2021e</v>
          </cell>
          <cell r="U5" t="str">
            <v>Q1'22e</v>
          </cell>
          <cell r="V5" t="str">
            <v>Q2'22e</v>
          </cell>
          <cell r="W5" t="str">
            <v>Q3'22e</v>
          </cell>
          <cell r="X5" t="str">
            <v>Q4'22e</v>
          </cell>
          <cell r="Y5" t="str">
            <v>2022e</v>
          </cell>
          <cell r="Z5" t="str">
            <v>2023e</v>
          </cell>
          <cell r="AA5" t="str">
            <v>2024e</v>
          </cell>
          <cell r="AB5" t="str">
            <v>2025e</v>
          </cell>
        </row>
        <row r="7">
          <cell r="A7" t="str">
            <v>Revenues:</v>
          </cell>
          <cell r="B7"/>
          <cell r="C7"/>
          <cell r="D7"/>
          <cell r="E7"/>
          <cell r="F7"/>
          <cell r="G7"/>
          <cell r="H7"/>
          <cell r="I7"/>
          <cell r="J7"/>
          <cell r="K7"/>
          <cell r="L7"/>
          <cell r="M7"/>
          <cell r="N7"/>
          <cell r="O7"/>
          <cell r="P7"/>
          <cell r="Q7"/>
          <cell r="R7"/>
        </row>
        <row r="8">
          <cell r="A8" t="str">
            <v>Commercial Airplanes</v>
          </cell>
          <cell r="B8">
            <v>59399</v>
          </cell>
          <cell r="C8">
            <v>59378</v>
          </cell>
          <cell r="D8">
            <v>54612</v>
          </cell>
          <cell r="E8">
            <v>57499</v>
          </cell>
          <cell r="F8">
            <v>11822</v>
          </cell>
          <cell r="G8">
            <v>4722</v>
          </cell>
          <cell r="H8">
            <v>8249</v>
          </cell>
          <cell r="I8">
            <v>7462</v>
          </cell>
          <cell r="J8">
            <v>32255</v>
          </cell>
          <cell r="K8">
            <v>6205</v>
          </cell>
          <cell r="L8">
            <v>1633</v>
          </cell>
          <cell r="M8">
            <v>3596</v>
          </cell>
          <cell r="N8">
            <v>4728</v>
          </cell>
          <cell r="O8">
            <v>16162</v>
          </cell>
          <cell r="P8">
            <v>4269</v>
          </cell>
          <cell r="Q8">
            <v>6015</v>
          </cell>
          <cell r="R8">
            <v>4459</v>
          </cell>
          <cell r="S8">
            <v>5105.4107000000004</v>
          </cell>
          <cell r="T8">
            <v>19848.4107</v>
          </cell>
          <cell r="U8">
            <v>6513.6637572</v>
          </cell>
          <cell r="V8">
            <v>9468.2833824000008</v>
          </cell>
          <cell r="W8">
            <v>10230.640903199999</v>
          </cell>
          <cell r="X8">
            <v>10384.443703199999</v>
          </cell>
          <cell r="Y8">
            <v>36597.031746000001</v>
          </cell>
          <cell r="Z8">
            <v>43138.476993959994</v>
          </cell>
          <cell r="AA8">
            <v>55134.321468456597</v>
          </cell>
          <cell r="AB8">
            <v>57026.290236761619</v>
          </cell>
        </row>
        <row r="9">
          <cell r="A9" t="str">
            <v>Defense, Space &amp; Security</v>
          </cell>
          <cell r="B9">
            <v>23708</v>
          </cell>
          <cell r="C9">
            <v>20180</v>
          </cell>
          <cell r="D9">
            <v>23938</v>
          </cell>
          <cell r="E9">
            <v>26300</v>
          </cell>
          <cell r="F9">
            <v>6587</v>
          </cell>
          <cell r="G9">
            <v>6579</v>
          </cell>
          <cell r="H9">
            <v>7002</v>
          </cell>
          <cell r="I9">
            <v>5927</v>
          </cell>
          <cell r="J9">
            <v>26095</v>
          </cell>
          <cell r="K9">
            <v>6042</v>
          </cell>
          <cell r="L9">
            <v>6588</v>
          </cell>
          <cell r="M9">
            <v>6848</v>
          </cell>
          <cell r="N9">
            <v>6779</v>
          </cell>
          <cell r="O9">
            <v>26257</v>
          </cell>
          <cell r="P9">
            <v>7185</v>
          </cell>
          <cell r="Q9">
            <v>6876</v>
          </cell>
          <cell r="R9">
            <v>6617</v>
          </cell>
          <cell r="S9">
            <v>6846.79</v>
          </cell>
          <cell r="T9">
            <v>27524.79</v>
          </cell>
          <cell r="U9">
            <v>6897.5999999999995</v>
          </cell>
          <cell r="V9">
            <v>6979.1399999999994</v>
          </cell>
          <cell r="W9">
            <v>7014.02</v>
          </cell>
          <cell r="X9">
            <v>7046.9018499999984</v>
          </cell>
          <cell r="Y9">
            <v>27937.661849999997</v>
          </cell>
          <cell r="Z9">
            <v>28356.726777749995</v>
          </cell>
          <cell r="AA9">
            <v>28640.294045527495</v>
          </cell>
          <cell r="AB9">
            <v>28926.69698598277</v>
          </cell>
        </row>
        <row r="10">
          <cell r="A10" t="str">
            <v>Global Services</v>
          </cell>
          <cell r="B10">
            <v>13293</v>
          </cell>
          <cell r="C10">
            <v>13819</v>
          </cell>
          <cell r="D10">
            <v>14611</v>
          </cell>
          <cell r="E10">
            <v>17056</v>
          </cell>
          <cell r="F10">
            <v>4619</v>
          </cell>
          <cell r="G10">
            <v>4543</v>
          </cell>
          <cell r="H10">
            <v>4658</v>
          </cell>
          <cell r="I10">
            <v>4648</v>
          </cell>
          <cell r="J10">
            <v>18468</v>
          </cell>
          <cell r="K10">
            <v>4628</v>
          </cell>
          <cell r="L10">
            <v>3488</v>
          </cell>
          <cell r="M10">
            <v>3694</v>
          </cell>
          <cell r="N10">
            <v>3733</v>
          </cell>
          <cell r="O10">
            <v>15543</v>
          </cell>
          <cell r="P10">
            <v>3749</v>
          </cell>
          <cell r="Q10">
            <v>4067</v>
          </cell>
          <cell r="R10">
            <v>4221</v>
          </cell>
          <cell r="S10">
            <v>4226.4949999999999</v>
          </cell>
          <cell r="T10">
            <v>16263.494999999999</v>
          </cell>
          <cell r="U10">
            <v>4213.9799999999996</v>
          </cell>
          <cell r="V10">
            <v>4401.18</v>
          </cell>
          <cell r="W10">
            <v>4423.08</v>
          </cell>
          <cell r="X10">
            <v>4510.0704999999971</v>
          </cell>
          <cell r="Y10">
            <v>17548.310499999996</v>
          </cell>
          <cell r="Z10">
            <v>19002.754149999997</v>
          </cell>
          <cell r="AA10">
            <v>19578.039857</v>
          </cell>
          <cell r="AB10">
            <v>20172.640503099996</v>
          </cell>
        </row>
        <row r="11">
          <cell r="A11" t="str">
            <v>Boeing Capital</v>
          </cell>
          <cell r="B11">
            <v>413</v>
          </cell>
          <cell r="C11">
            <v>298</v>
          </cell>
          <cell r="D11">
            <v>307</v>
          </cell>
          <cell r="E11">
            <v>274</v>
          </cell>
          <cell r="F11">
            <v>66</v>
          </cell>
          <cell r="G11">
            <v>75</v>
          </cell>
          <cell r="H11">
            <v>66</v>
          </cell>
          <cell r="I11">
            <v>37</v>
          </cell>
          <cell r="J11">
            <v>244</v>
          </cell>
          <cell r="K11">
            <v>65</v>
          </cell>
          <cell r="L11">
            <v>69</v>
          </cell>
          <cell r="M11">
            <v>71</v>
          </cell>
          <cell r="N11">
            <v>56</v>
          </cell>
          <cell r="O11">
            <v>261</v>
          </cell>
          <cell r="P11">
            <v>60</v>
          </cell>
          <cell r="Q11">
            <v>78</v>
          </cell>
          <cell r="R11">
            <v>71</v>
          </cell>
          <cell r="S11">
            <v>58.800000000000004</v>
          </cell>
          <cell r="T11">
            <v>267.8</v>
          </cell>
          <cell r="U11">
            <v>61.800000000000004</v>
          </cell>
          <cell r="V11">
            <v>80.34</v>
          </cell>
          <cell r="W11">
            <v>73.13</v>
          </cell>
          <cell r="X11">
            <v>57.885999999999996</v>
          </cell>
          <cell r="Y11">
            <v>273.15600000000001</v>
          </cell>
          <cell r="Z11">
            <v>278.61912000000001</v>
          </cell>
          <cell r="AA11">
            <v>284.19150239999999</v>
          </cell>
          <cell r="AB11">
            <v>289.87533244799999</v>
          </cell>
        </row>
        <row r="12">
          <cell r="A12" t="str">
            <v>Unallocated items, eliminations and other</v>
          </cell>
          <cell r="B12">
            <v>-699</v>
          </cell>
          <cell r="C12">
            <v>-179</v>
          </cell>
          <cell r="D12">
            <v>537</v>
          </cell>
          <cell r="E12">
            <v>-2</v>
          </cell>
          <cell r="F12">
            <v>-177</v>
          </cell>
          <cell r="G12">
            <v>-168</v>
          </cell>
          <cell r="H12">
            <v>5</v>
          </cell>
          <cell r="I12">
            <v>-163</v>
          </cell>
          <cell r="J12">
            <v>-503</v>
          </cell>
          <cell r="K12">
            <v>-32</v>
          </cell>
          <cell r="L12">
            <v>29</v>
          </cell>
          <cell r="M12">
            <v>-70</v>
          </cell>
          <cell r="N12">
            <v>8</v>
          </cell>
          <cell r="O12">
            <v>-65</v>
          </cell>
          <cell r="P12">
            <v>-46</v>
          </cell>
          <cell r="Q12">
            <v>-38</v>
          </cell>
          <cell r="R12">
            <v>-90</v>
          </cell>
          <cell r="S12">
            <v>8</v>
          </cell>
          <cell r="T12">
            <v>-166</v>
          </cell>
          <cell r="U12">
            <v>-46.46</v>
          </cell>
          <cell r="V12">
            <v>-38.380000000000003</v>
          </cell>
          <cell r="W12">
            <v>-54</v>
          </cell>
          <cell r="X12">
            <v>-28.819999999999993</v>
          </cell>
          <cell r="Y12">
            <v>-167.66</v>
          </cell>
          <cell r="Z12">
            <v>-169.3366</v>
          </cell>
          <cell r="AA12">
            <v>-171.029966</v>
          </cell>
          <cell r="AB12">
            <v>-172.74026566000001</v>
          </cell>
        </row>
        <row r="13">
          <cell r="A13" t="str">
            <v>Total Revenues</v>
          </cell>
          <cell r="B13">
            <v>96114</v>
          </cell>
          <cell r="C13">
            <v>93496</v>
          </cell>
          <cell r="D13">
            <v>94005</v>
          </cell>
          <cell r="E13">
            <v>101127</v>
          </cell>
          <cell r="F13">
            <v>22917</v>
          </cell>
          <cell r="G13">
            <v>15751</v>
          </cell>
          <cell r="H13">
            <v>19980</v>
          </cell>
          <cell r="I13">
            <v>17911</v>
          </cell>
          <cell r="J13">
            <v>76559</v>
          </cell>
          <cell r="K13">
            <v>16908</v>
          </cell>
          <cell r="L13">
            <v>11807</v>
          </cell>
          <cell r="M13">
            <v>14139</v>
          </cell>
          <cell r="N13">
            <v>15304</v>
          </cell>
          <cell r="O13">
            <v>58158</v>
          </cell>
          <cell r="P13">
            <v>15217</v>
          </cell>
          <cell r="Q13">
            <v>16998</v>
          </cell>
          <cell r="R13">
            <v>15278</v>
          </cell>
          <cell r="S13">
            <v>16245.495699999999</v>
          </cell>
          <cell r="T13">
            <v>63738.495699999999</v>
          </cell>
          <cell r="U13">
            <v>17640.583757199998</v>
          </cell>
          <cell r="V13">
            <v>20890.5633824</v>
          </cell>
          <cell r="W13">
            <v>21686.870903200001</v>
          </cell>
          <cell r="X13">
            <v>21970.482053199994</v>
          </cell>
          <cell r="Y13">
            <v>82188.500095999989</v>
          </cell>
          <cell r="Z13">
            <v>90607.24044170999</v>
          </cell>
          <cell r="AA13">
            <v>103465.81690738408</v>
          </cell>
          <cell r="AB13">
            <v>106242.76279263239</v>
          </cell>
        </row>
        <row r="29">
          <cell r="A29" t="str">
            <v>Earnings/(loss) from operations:</v>
          </cell>
          <cell r="M29"/>
          <cell r="R29"/>
          <cell r="S29"/>
          <cell r="T29"/>
          <cell r="U29"/>
          <cell r="V29"/>
          <cell r="W29"/>
          <cell r="X29"/>
          <cell r="Y29"/>
          <cell r="Z29"/>
          <cell r="AA29"/>
          <cell r="AB29"/>
        </row>
        <row r="30">
          <cell r="A30" t="str">
            <v>Commercial Airplanes</v>
          </cell>
          <cell r="B30">
            <v>4284</v>
          </cell>
          <cell r="C30">
            <v>1981</v>
          </cell>
          <cell r="D30">
            <v>5285</v>
          </cell>
          <cell r="E30">
            <v>7830</v>
          </cell>
          <cell r="F30">
            <v>1173</v>
          </cell>
          <cell r="G30">
            <v>-4946</v>
          </cell>
          <cell r="H30">
            <v>-40</v>
          </cell>
          <cell r="I30">
            <v>-2844</v>
          </cell>
          <cell r="J30">
            <v>-6657</v>
          </cell>
          <cell r="K30">
            <v>-2068</v>
          </cell>
          <cell r="L30">
            <v>-2762</v>
          </cell>
          <cell r="M30">
            <v>-1369</v>
          </cell>
          <cell r="N30">
            <v>-7648</v>
          </cell>
          <cell r="O30">
            <v>-13847</v>
          </cell>
          <cell r="P30">
            <v>-856</v>
          </cell>
          <cell r="Q30">
            <v>-472</v>
          </cell>
          <cell r="R30">
            <v>-693</v>
          </cell>
          <cell r="S30">
            <v>-713.7726515881709</v>
          </cell>
          <cell r="T30">
            <v>-2734.7726515881709</v>
          </cell>
          <cell r="U30">
            <v>-417.16519679780959</v>
          </cell>
          <cell r="V30">
            <v>-208.61168615725629</v>
          </cell>
          <cell r="W30">
            <v>-147.56875863540583</v>
          </cell>
          <cell r="X30">
            <v>-69.984251635405926</v>
          </cell>
          <cell r="Y30">
            <v>-843.32989322587764</v>
          </cell>
          <cell r="Z30">
            <v>699.10055006518917</v>
          </cell>
          <cell r="AA30">
            <v>2655.3015904134227</v>
          </cell>
          <cell r="AB30">
            <v>3266.2700140010056</v>
          </cell>
        </row>
        <row r="31">
          <cell r="A31" t="str">
            <v>Defense, Space &amp; Security</v>
          </cell>
          <cell r="B31">
            <v>2312</v>
          </cell>
          <cell r="C31">
            <v>1678</v>
          </cell>
          <cell r="D31">
            <v>2383</v>
          </cell>
          <cell r="E31">
            <v>1692</v>
          </cell>
          <cell r="F31">
            <v>852</v>
          </cell>
          <cell r="G31">
            <v>975</v>
          </cell>
          <cell r="H31">
            <v>754</v>
          </cell>
          <cell r="I31">
            <v>34</v>
          </cell>
          <cell r="J31">
            <v>2615</v>
          </cell>
          <cell r="K31">
            <v>-191</v>
          </cell>
          <cell r="L31">
            <v>600</v>
          </cell>
          <cell r="M31">
            <v>628</v>
          </cell>
          <cell r="N31">
            <v>502</v>
          </cell>
          <cell r="O31">
            <v>1539</v>
          </cell>
          <cell r="P31">
            <v>405</v>
          </cell>
          <cell r="Q31">
            <v>958</v>
          </cell>
          <cell r="R31">
            <v>436</v>
          </cell>
          <cell r="S31">
            <v>616.21109999999999</v>
          </cell>
          <cell r="T31">
            <v>2415.2111</v>
          </cell>
          <cell r="U31">
            <v>655.27199999999993</v>
          </cell>
          <cell r="V31">
            <v>663.01829999999995</v>
          </cell>
          <cell r="W31">
            <v>666.33190000000002</v>
          </cell>
          <cell r="X31">
            <v>669.45567574999995</v>
          </cell>
          <cell r="Y31">
            <v>2654.0778757499997</v>
          </cell>
          <cell r="Z31">
            <v>2552.1054099974995</v>
          </cell>
          <cell r="AA31">
            <v>2577.6264640974746</v>
          </cell>
          <cell r="AB31">
            <v>2603.4027287384492</v>
          </cell>
        </row>
        <row r="32">
          <cell r="A32" t="str">
            <v>Global Services</v>
          </cell>
          <cell r="B32">
            <v>1835</v>
          </cell>
          <cell r="C32">
            <v>2159</v>
          </cell>
          <cell r="D32">
            <v>2251</v>
          </cell>
          <cell r="E32">
            <v>2536</v>
          </cell>
          <cell r="F32">
            <v>653</v>
          </cell>
          <cell r="G32">
            <v>687</v>
          </cell>
          <cell r="H32">
            <v>673</v>
          </cell>
          <cell r="I32">
            <v>684</v>
          </cell>
          <cell r="J32">
            <v>2697</v>
          </cell>
          <cell r="K32">
            <v>708</v>
          </cell>
          <cell r="L32">
            <v>-672</v>
          </cell>
          <cell r="M32">
            <v>271</v>
          </cell>
          <cell r="N32">
            <v>143</v>
          </cell>
          <cell r="O32">
            <v>450</v>
          </cell>
          <cell r="P32">
            <v>441</v>
          </cell>
          <cell r="Q32">
            <v>531</v>
          </cell>
          <cell r="R32">
            <v>644</v>
          </cell>
          <cell r="S32">
            <v>633.97424999999998</v>
          </cell>
          <cell r="T32">
            <v>2249.9742500000002</v>
          </cell>
          <cell r="U32">
            <v>653.16689999999994</v>
          </cell>
          <cell r="V32">
            <v>704.18880000000001</v>
          </cell>
          <cell r="W32">
            <v>729.80820000000006</v>
          </cell>
          <cell r="X32">
            <v>720.56577999999945</v>
          </cell>
          <cell r="Y32">
            <v>2807.7296799999995</v>
          </cell>
          <cell r="Z32">
            <v>3230.4682054999998</v>
          </cell>
          <cell r="AA32">
            <v>3328.26677569</v>
          </cell>
          <cell r="AB32">
            <v>3429.3488855269998</v>
          </cell>
        </row>
        <row r="33">
          <cell r="A33" t="str">
            <v>Boeing Capital</v>
          </cell>
          <cell r="B33">
            <v>50</v>
          </cell>
          <cell r="C33">
            <v>59</v>
          </cell>
          <cell r="D33">
            <v>114</v>
          </cell>
          <cell r="E33">
            <v>79</v>
          </cell>
          <cell r="F33">
            <v>20</v>
          </cell>
          <cell r="G33">
            <v>37</v>
          </cell>
          <cell r="H33">
            <v>29</v>
          </cell>
          <cell r="I33">
            <v>-58</v>
          </cell>
          <cell r="J33">
            <v>28</v>
          </cell>
          <cell r="K33">
            <v>24</v>
          </cell>
          <cell r="L33">
            <v>-7</v>
          </cell>
          <cell r="M33">
            <v>30</v>
          </cell>
          <cell r="N33">
            <v>16</v>
          </cell>
          <cell r="O33">
            <v>63</v>
          </cell>
          <cell r="P33">
            <v>21</v>
          </cell>
          <cell r="Q33">
            <v>36</v>
          </cell>
          <cell r="R33">
            <v>42</v>
          </cell>
          <cell r="S33">
            <v>23.520000000000003</v>
          </cell>
          <cell r="T33">
            <v>122.52000000000001</v>
          </cell>
          <cell r="U33">
            <v>18.54</v>
          </cell>
          <cell r="V33">
            <v>24.102</v>
          </cell>
          <cell r="W33">
            <v>21.938999999999997</v>
          </cell>
          <cell r="X33">
            <v>17.365800000000007</v>
          </cell>
          <cell r="Y33">
            <v>81.946799999999996</v>
          </cell>
          <cell r="Z33">
            <v>55.723824000000008</v>
          </cell>
          <cell r="AA33">
            <v>56.838300480000001</v>
          </cell>
          <cell r="AB33">
            <v>57.975066489600003</v>
          </cell>
        </row>
        <row r="34">
          <cell r="A34" t="str">
            <v>Segment operating earnings/(loss)</v>
          </cell>
          <cell r="B34">
            <v>8481</v>
          </cell>
          <cell r="C34">
            <v>5877</v>
          </cell>
          <cell r="D34">
            <v>10033</v>
          </cell>
          <cell r="E34">
            <v>12137</v>
          </cell>
          <cell r="F34">
            <v>2698</v>
          </cell>
          <cell r="G34">
            <v>-3247</v>
          </cell>
          <cell r="H34">
            <v>1416</v>
          </cell>
          <cell r="I34">
            <v>-2184</v>
          </cell>
          <cell r="J34">
            <v>-1317</v>
          </cell>
          <cell r="K34">
            <v>-1527</v>
          </cell>
          <cell r="L34">
            <v>-2841</v>
          </cell>
          <cell r="M34">
            <v>-440</v>
          </cell>
          <cell r="N34">
            <v>-6987</v>
          </cell>
          <cell r="O34">
            <v>-11795</v>
          </cell>
          <cell r="P34">
            <v>11</v>
          </cell>
          <cell r="Q34">
            <v>1053</v>
          </cell>
          <cell r="R34">
            <v>429</v>
          </cell>
          <cell r="S34">
            <v>559.93269841182905</v>
          </cell>
          <cell r="T34">
            <v>2052.9326984118293</v>
          </cell>
          <cell r="U34">
            <v>909.81370320219025</v>
          </cell>
          <cell r="V34">
            <v>1182.6974138427438</v>
          </cell>
          <cell r="W34">
            <v>1270.5103413645943</v>
          </cell>
          <cell r="X34">
            <v>1337.4030041145934</v>
          </cell>
          <cell r="Y34">
            <v>4700.4244625241208</v>
          </cell>
          <cell r="Z34">
            <v>6537.3979895626881</v>
          </cell>
          <cell r="AA34">
            <v>8618.0331306808966</v>
          </cell>
          <cell r="AB34">
            <v>9356.9966947560551</v>
          </cell>
        </row>
        <row r="35">
          <cell r="B35"/>
          <cell r="C35"/>
          <cell r="D35"/>
          <cell r="E35"/>
          <cell r="J35"/>
          <cell r="M35"/>
          <cell r="O35"/>
          <cell r="R35"/>
          <cell r="S35"/>
          <cell r="T35"/>
          <cell r="U35"/>
          <cell r="V35"/>
          <cell r="W35"/>
          <cell r="X35"/>
          <cell r="Y35"/>
          <cell r="Z35"/>
          <cell r="AA35"/>
          <cell r="AB35"/>
        </row>
        <row r="36">
          <cell r="A36" t="str">
            <v>Commercial Airplanes Operating Margin</v>
          </cell>
          <cell r="B36">
            <v>7.2122426303473125E-2</v>
          </cell>
          <cell r="C36">
            <v>3.3362524840850144E-2</v>
          </cell>
          <cell r="D36">
            <v>9.677360287116385E-2</v>
          </cell>
          <cell r="E36">
            <v>0.13617628132663176</v>
          </cell>
          <cell r="F36">
            <v>9.9221789883268477E-2</v>
          </cell>
          <cell r="G36">
            <v>-1.0474375264718341</v>
          </cell>
          <cell r="H36">
            <v>-4.8490726148624078E-3</v>
          </cell>
          <cell r="I36">
            <v>-0.38113106405789332</v>
          </cell>
          <cell r="J36">
            <v>-0.20638660672763912</v>
          </cell>
          <cell r="K36">
            <v>-0.3332796132151491</v>
          </cell>
          <cell r="L36">
            <v>-1.6913655848132272</v>
          </cell>
          <cell r="M36">
            <v>-0.38070077864293661</v>
          </cell>
          <cell r="N36">
            <v>-1.6175972927241962</v>
          </cell>
          <cell r="O36">
            <v>-0.856762776884049</v>
          </cell>
          <cell r="P36">
            <v>-0.20051534317170297</v>
          </cell>
          <cell r="Q36">
            <v>-7.8470490440565255E-2</v>
          </cell>
          <cell r="R36">
            <v>-0.15541601255886969</v>
          </cell>
          <cell r="S36">
            <v>-0.13980709751483281</v>
          </cell>
          <cell r="T36">
            <v>-0.13778295365422738</v>
          </cell>
          <cell r="U36">
            <v>-6.4044631769131194E-2</v>
          </cell>
          <cell r="V36">
            <v>-2.2032682982960933E-2</v>
          </cell>
          <cell r="W36">
            <v>-1.4424194928906987E-2</v>
          </cell>
          <cell r="X36">
            <v>-6.7393356481715103E-3</v>
          </cell>
          <cell r="Y36">
            <v>-2.3043669199157176E-2</v>
          </cell>
          <cell r="Z36">
            <v>1.6205962722399155E-2</v>
          </cell>
          <cell r="AA36">
            <v>4.8160592525520997E-2</v>
          </cell>
          <cell r="AB36">
            <v>5.7276564904364523E-2</v>
          </cell>
        </row>
        <row r="37">
          <cell r="A37" t="str">
            <v>Defense, Space &amp; Security Operating Margin</v>
          </cell>
          <cell r="B37">
            <v>9.7519824531803606E-2</v>
          </cell>
          <cell r="C37">
            <v>8.3151635282457878E-2</v>
          </cell>
          <cell r="D37">
            <v>9.9548834489096835E-2</v>
          </cell>
          <cell r="E37">
            <v>6.4334600760456273E-2</v>
          </cell>
          <cell r="F37">
            <v>0.12934568088659482</v>
          </cell>
          <cell r="G37">
            <v>0.14819881440948474</v>
          </cell>
          <cell r="H37">
            <v>0.10768351899457299</v>
          </cell>
          <cell r="I37">
            <v>5.7364602665766831E-3</v>
          </cell>
          <cell r="J37">
            <v>0.10021076834642652</v>
          </cell>
          <cell r="K37">
            <v>-3.1612048990400529E-2</v>
          </cell>
          <cell r="L37">
            <v>9.107468123861566E-2</v>
          </cell>
          <cell r="M37">
            <v>9.1705607476635517E-2</v>
          </cell>
          <cell r="N37">
            <v>7.4052220091458912E-2</v>
          </cell>
          <cell r="O37">
            <v>5.8612941310888525E-2</v>
          </cell>
          <cell r="P37">
            <v>5.6367432150313153E-2</v>
          </cell>
          <cell r="Q37">
            <v>0.13932518906340896</v>
          </cell>
          <cell r="R37">
            <v>6.5890887108961765E-2</v>
          </cell>
          <cell r="S37">
            <v>0.09</v>
          </cell>
          <cell r="T37">
            <v>8.7746758467548702E-2</v>
          </cell>
          <cell r="U37">
            <v>9.5000000000000001E-2</v>
          </cell>
          <cell r="V37">
            <v>9.5000000000000001E-2</v>
          </cell>
          <cell r="W37">
            <v>9.5000000000000001E-2</v>
          </cell>
          <cell r="X37">
            <v>9.5000000000000015E-2</v>
          </cell>
          <cell r="Y37">
            <v>9.5000000000000001E-2</v>
          </cell>
          <cell r="Z37">
            <v>0.09</v>
          </cell>
          <cell r="AA37">
            <v>0.09</v>
          </cell>
          <cell r="AB37">
            <v>0.09</v>
          </cell>
        </row>
        <row r="38">
          <cell r="A38" t="str">
            <v>Global Services Operating Margin</v>
          </cell>
          <cell r="B38">
            <v>0.13804257880087265</v>
          </cell>
          <cell r="C38">
            <v>0.15623417034517692</v>
          </cell>
          <cell r="D38">
            <v>0.15406200807610704</v>
          </cell>
          <cell r="E38">
            <v>0.14868667917448405</v>
          </cell>
          <cell r="F38">
            <v>0.14137259147001516</v>
          </cell>
          <cell r="G38">
            <v>0.15122165969623597</v>
          </cell>
          <cell r="H38">
            <v>0.14448261056247316</v>
          </cell>
          <cell r="I38">
            <v>0.14716006884681584</v>
          </cell>
          <cell r="J38">
            <v>0.14603638726445745</v>
          </cell>
          <cell r="K38">
            <v>0.15298184961106309</v>
          </cell>
          <cell r="L38">
            <v>-0.19266055045871561</v>
          </cell>
          <cell r="M38">
            <v>7.3362208987547375E-2</v>
          </cell>
          <cell r="N38">
            <v>3.8306991695687118E-2</v>
          </cell>
          <cell r="O38">
            <v>2.8951939779965258E-2</v>
          </cell>
          <cell r="P38">
            <v>0.11763136836489731</v>
          </cell>
          <cell r="Q38">
            <v>0.13056306860093436</v>
          </cell>
          <cell r="R38">
            <v>0.15257048092868988</v>
          </cell>
          <cell r="S38">
            <v>0.15</v>
          </cell>
          <cell r="T38">
            <v>0.13834506359180485</v>
          </cell>
          <cell r="U38">
            <v>0.155</v>
          </cell>
          <cell r="V38">
            <v>0.16</v>
          </cell>
          <cell r="W38">
            <v>0.16500000000000001</v>
          </cell>
          <cell r="X38">
            <v>0.15976818544189053</v>
          </cell>
          <cell r="Y38">
            <v>0.16</v>
          </cell>
          <cell r="Z38">
            <v>0.17</v>
          </cell>
          <cell r="AA38">
            <v>0.17</v>
          </cell>
          <cell r="AB38">
            <v>0.17</v>
          </cell>
        </row>
        <row r="39">
          <cell r="A39" t="str">
            <v>Boeing Capital Operating Margin</v>
          </cell>
          <cell r="B39">
            <v>0.12106537530266344</v>
          </cell>
          <cell r="C39">
            <v>0.19798657718120805</v>
          </cell>
          <cell r="D39">
            <v>0.37133550488599348</v>
          </cell>
          <cell r="E39">
            <v>0.28832116788321166</v>
          </cell>
          <cell r="F39">
            <v>0.30303030303030304</v>
          </cell>
          <cell r="G39">
            <v>0.49333333333333335</v>
          </cell>
          <cell r="H39">
            <v>0.43939393939393939</v>
          </cell>
          <cell r="I39">
            <v>-1.5675675675675675</v>
          </cell>
          <cell r="J39">
            <v>0.11475409836065574</v>
          </cell>
          <cell r="K39">
            <v>0.36923076923076925</v>
          </cell>
          <cell r="L39">
            <v>-0.10144927536231885</v>
          </cell>
          <cell r="M39">
            <v>0.42253521126760563</v>
          </cell>
          <cell r="N39">
            <v>0.2857142857142857</v>
          </cell>
          <cell r="O39">
            <v>0.2413793103448276</v>
          </cell>
          <cell r="P39">
            <v>0.35</v>
          </cell>
          <cell r="Q39">
            <v>0.46153846153846156</v>
          </cell>
          <cell r="R39">
            <v>0.59154929577464788</v>
          </cell>
          <cell r="S39">
            <v>0.4</v>
          </cell>
          <cell r="T39">
            <v>0.45750560119492162</v>
          </cell>
          <cell r="U39">
            <v>0.3</v>
          </cell>
          <cell r="V39">
            <v>0.3</v>
          </cell>
          <cell r="W39">
            <v>0.3</v>
          </cell>
          <cell r="X39">
            <v>0.30000000000000016</v>
          </cell>
          <cell r="Y39">
            <v>0.3</v>
          </cell>
          <cell r="Z39">
            <v>0.2</v>
          </cell>
          <cell r="AA39">
            <v>0.2</v>
          </cell>
          <cell r="AB39">
            <v>0.2</v>
          </cell>
        </row>
        <row r="40">
          <cell r="A40" t="str">
            <v>Total Segment Operating Margin</v>
          </cell>
          <cell r="B40">
            <v>8.8238966227604715E-2</v>
          </cell>
          <cell r="C40">
            <v>6.2858304098571058E-2</v>
          </cell>
          <cell r="D40">
            <v>0.10672836551247274</v>
          </cell>
          <cell r="E40">
            <v>0.12001740385851455</v>
          </cell>
          <cell r="F40">
            <v>0.11772919666623032</v>
          </cell>
          <cell r="G40">
            <v>-0.20614564154656848</v>
          </cell>
          <cell r="H40">
            <v>7.0870870870870864E-2</v>
          </cell>
          <cell r="I40">
            <v>-0.12193624029925744</v>
          </cell>
          <cell r="J40">
            <v>-1.7202419049360623E-2</v>
          </cell>
          <cell r="K40">
            <v>-9.031227821149751E-2</v>
          </cell>
          <cell r="L40">
            <v>-0.24061997120352333</v>
          </cell>
          <cell r="M40">
            <v>-3.1119598274276822E-2</v>
          </cell>
          <cell r="N40">
            <v>-0.45654730789336123</v>
          </cell>
          <cell r="O40">
            <v>-0.20280958767495444</v>
          </cell>
          <cell r="P40">
            <v>7.2287573109022806E-4</v>
          </cell>
          <cell r="Q40">
            <v>6.1948464525238264E-2</v>
          </cell>
          <cell r="R40">
            <v>2.8079591569577171E-2</v>
          </cell>
          <cell r="S40">
            <v>3.446695063985207E-2</v>
          </cell>
          <cell r="T40">
            <v>3.2208678222881704E-2</v>
          </cell>
          <cell r="U40">
            <v>5.1575033781455795E-2</v>
          </cell>
          <cell r="V40">
            <v>5.6613954932357137E-2</v>
          </cell>
          <cell r="W40">
            <v>5.8584308775367147E-2</v>
          </cell>
          <cell r="X40">
            <v>6.0872720083071687E-2</v>
          </cell>
          <cell r="Y40">
            <v>5.7190780425896648E-2</v>
          </cell>
          <cell r="Z40">
            <v>7.2150944645183929E-2</v>
          </cell>
          <cell r="AA40">
            <v>8.3293530059258158E-2</v>
          </cell>
          <cell r="AB40">
            <v>8.8071850249407613E-2</v>
          </cell>
        </row>
        <row r="54">
          <cell r="A54" t="str">
            <v>Core Earnings/(Loss) from Operations</v>
          </cell>
          <cell r="B54">
            <v>7741</v>
          </cell>
          <cell r="C54">
            <v>5170</v>
          </cell>
          <cell r="D54">
            <v>8906</v>
          </cell>
          <cell r="E54">
            <v>10660</v>
          </cell>
          <cell r="F54">
            <v>1986</v>
          </cell>
          <cell r="G54">
            <v>-3745</v>
          </cell>
          <cell r="H54">
            <v>895</v>
          </cell>
          <cell r="I54">
            <v>-2526</v>
          </cell>
          <cell r="J54">
            <v>-3390</v>
          </cell>
          <cell r="K54">
            <v>-1700</v>
          </cell>
          <cell r="L54">
            <v>-3319</v>
          </cell>
          <cell r="M54">
            <v>-754</v>
          </cell>
          <cell r="N54">
            <v>-8377</v>
          </cell>
          <cell r="O54">
            <v>-14150</v>
          </cell>
          <cell r="P54">
            <v>-353</v>
          </cell>
          <cell r="Q54">
            <v>755</v>
          </cell>
          <cell r="R54">
            <v>59</v>
          </cell>
          <cell r="S54">
            <v>242.93269841182905</v>
          </cell>
          <cell r="T54">
            <v>703.93269841182928</v>
          </cell>
          <cell r="U54">
            <v>578.08366356921852</v>
          </cell>
          <cell r="V54">
            <v>850.96737420977206</v>
          </cell>
          <cell r="W54">
            <v>938.78030173162256</v>
          </cell>
          <cell r="X54">
            <v>1005.6729644816216</v>
          </cell>
          <cell r="Y54">
            <v>3373.5043039922339</v>
          </cell>
          <cell r="Z54">
            <v>5109.868480885485</v>
          </cell>
          <cell r="AA54">
            <v>7040.0724355289349</v>
          </cell>
          <cell r="AB54">
            <v>7741.316423553184</v>
          </cell>
        </row>
        <row r="55">
          <cell r="A55" t="str">
            <v>Core Earnings/(Loss) from Operations Margin</v>
          </cell>
          <cell r="B55">
            <v>8.0539775683043047E-2</v>
          </cell>
          <cell r="C55">
            <v>5.5296483272011636E-2</v>
          </cell>
          <cell r="D55">
            <v>9.4739641508430408E-2</v>
          </cell>
          <cell r="E55">
            <v>0.10541200668466384</v>
          </cell>
          <cell r="F55">
            <v>8.6660557664615792E-2</v>
          </cell>
          <cell r="G55">
            <v>-0.23776268173449305</v>
          </cell>
          <cell r="H55">
            <v>4.4794794794794791E-2</v>
          </cell>
          <cell r="I55">
            <v>-0.1410306515549104</v>
          </cell>
          <cell r="J55">
            <v>-4.4279575229561517E-2</v>
          </cell>
          <cell r="K55">
            <v>-0.10054412112609416</v>
          </cell>
          <cell r="L55">
            <v>-0.28110442957567544</v>
          </cell>
          <cell r="M55">
            <v>-5.3327675224556191E-2</v>
          </cell>
          <cell r="N55">
            <v>-0.54737323575535812</v>
          </cell>
          <cell r="O55">
            <v>-0.2433027270538877</v>
          </cell>
          <cell r="P55">
            <v>-2.3197739370440954E-2</v>
          </cell>
          <cell r="Q55">
            <v>4.4416990234145193E-2</v>
          </cell>
          <cell r="R55">
            <v>3.8617620107343894E-3</v>
          </cell>
          <cell r="S55">
            <v>1.4953849540696321E-2</v>
          </cell>
          <cell r="T55">
            <v>1.1044074553077808E-2</v>
          </cell>
          <cell r="U55">
            <v>3.2770098287324183E-2</v>
          </cell>
          <cell r="V55">
            <v>4.0734534470559081E-2</v>
          </cell>
          <cell r="W55">
            <v>4.3287955460328813E-2</v>
          </cell>
          <cell r="X55">
            <v>4.5773823352917541E-2</v>
          </cell>
          <cell r="Y55">
            <v>4.1045940734431512E-2</v>
          </cell>
          <cell r="Z55">
            <v>5.639580739877844E-2</v>
          </cell>
          <cell r="AA55">
            <v>6.8042496023887317E-2</v>
          </cell>
          <cell r="AB55">
            <v>7.2864411843872157E-2</v>
          </cell>
        </row>
        <row r="88">
          <cell r="A88" t="str">
            <v>Core Diluted EPS Attributable to Boeing Common</v>
          </cell>
          <cell r="B88">
            <v>7.7204316546762586</v>
          </cell>
          <cell r="C88">
            <v>6.9378500311138769</v>
          </cell>
          <cell r="D88">
            <v>12.329836065573771</v>
          </cell>
          <cell r="E88">
            <v>16.005960717335611</v>
          </cell>
          <cell r="F88">
            <v>3.1642182581322142</v>
          </cell>
          <cell r="G88">
            <v>-5.8156012041792113</v>
          </cell>
          <cell r="H88">
            <v>1.454977136827295</v>
          </cell>
          <cell r="I88">
            <v>-2.3323477337110483</v>
          </cell>
          <cell r="J88">
            <v>-3.4750265298903433</v>
          </cell>
          <cell r="K88">
            <v>-1.6989564909798374</v>
          </cell>
          <cell r="L88">
            <v>-4.7919243682629444</v>
          </cell>
          <cell r="M88">
            <v>-1.3890302066772653</v>
          </cell>
          <cell r="N88">
            <v>-15.245059151009048</v>
          </cell>
          <cell r="O88">
            <v>-23.252778754836442</v>
          </cell>
          <cell r="P88">
            <v>-1.5283418803418802</v>
          </cell>
          <cell r="Q88">
            <v>0.39518480840963033</v>
          </cell>
          <cell r="R88">
            <v>-0.59454638124362891</v>
          </cell>
          <cell r="S88">
            <v>-0.42595861173124983</v>
          </cell>
          <cell r="T88">
            <v>-2.144151015835452</v>
          </cell>
          <cell r="U88">
            <v>3.338423187389452E-2</v>
          </cell>
          <cell r="V88">
            <v>0.40933514186689529</v>
          </cell>
          <cell r="W88">
            <v>0.54231758064205249</v>
          </cell>
          <cell r="X88">
            <v>0.64694878364665642</v>
          </cell>
          <cell r="Y88">
            <v>1.6330202015612592</v>
          </cell>
          <cell r="Z88">
            <v>4.3733408955597106</v>
          </cell>
          <cell r="AA88">
            <v>7.6884558049876759</v>
          </cell>
          <cell r="AB88">
            <v>9.2202118773013844</v>
          </cell>
        </row>
        <row r="90">
          <cell r="A90" t="str">
            <v>Dividends Per Share</v>
          </cell>
          <cell r="B90">
            <v>3.64</v>
          </cell>
          <cell r="C90">
            <v>4.3600000000000003</v>
          </cell>
          <cell r="D90">
            <v>5.68</v>
          </cell>
          <cell r="E90">
            <v>6.84</v>
          </cell>
          <cell r="F90">
            <v>2.0550000000000002</v>
          </cell>
          <cell r="G90">
            <v>2.0550000000000002</v>
          </cell>
          <cell r="H90">
            <v>2.0550000000000002</v>
          </cell>
          <cell r="I90">
            <v>2.0550000000000002</v>
          </cell>
          <cell r="J90">
            <v>8.2200000000000006</v>
          </cell>
          <cell r="K90">
            <v>2.0550000000000002</v>
          </cell>
          <cell r="L90"/>
          <cell r="M90"/>
          <cell r="N90"/>
          <cell r="O90">
            <v>2.0550000000000002</v>
          </cell>
          <cell r="P90"/>
          <cell r="Q90"/>
          <cell r="R90"/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2</v>
          </cell>
          <cell r="AA90">
            <v>4</v>
          </cell>
          <cell r="AB90">
            <v>6</v>
          </cell>
        </row>
        <row r="244">
          <cell r="A244" t="str">
            <v>Gross Debt</v>
          </cell>
          <cell r="B244">
            <v>9964</v>
          </cell>
          <cell r="C244">
            <v>9952</v>
          </cell>
          <cell r="D244">
            <v>11117</v>
          </cell>
          <cell r="E244">
            <v>13847</v>
          </cell>
          <cell r="F244">
            <v>14744</v>
          </cell>
          <cell r="G244">
            <v>19216</v>
          </cell>
          <cell r="H244">
            <v>24652</v>
          </cell>
          <cell r="I244">
            <v>27302</v>
          </cell>
          <cell r="J244">
            <v>27302</v>
          </cell>
          <cell r="K244">
            <v>38927</v>
          </cell>
          <cell r="L244">
            <v>61379</v>
          </cell>
          <cell r="M244">
            <v>60959</v>
          </cell>
          <cell r="N244">
            <v>63583</v>
          </cell>
          <cell r="O244">
            <v>63583</v>
          </cell>
          <cell r="P244">
            <v>63575</v>
          </cell>
          <cell r="Q244">
            <v>63559</v>
          </cell>
          <cell r="R244">
            <v>62419</v>
          </cell>
          <cell r="S244">
            <v>62419</v>
          </cell>
          <cell r="T244">
            <v>62419</v>
          </cell>
          <cell r="U244">
            <v>61919</v>
          </cell>
          <cell r="V244">
            <v>61419</v>
          </cell>
          <cell r="W244">
            <v>60419</v>
          </cell>
          <cell r="X244">
            <v>59419</v>
          </cell>
          <cell r="Y244">
            <v>59419</v>
          </cell>
          <cell r="Z244">
            <v>51419</v>
          </cell>
          <cell r="AA244">
            <v>39419</v>
          </cell>
          <cell r="AB244">
            <v>29419</v>
          </cell>
        </row>
        <row r="245">
          <cell r="A245" t="str">
            <v>Cash</v>
          </cell>
          <cell r="B245">
            <v>11302</v>
          </cell>
          <cell r="C245">
            <v>8801</v>
          </cell>
          <cell r="D245">
            <v>8813</v>
          </cell>
          <cell r="E245">
            <v>7637</v>
          </cell>
          <cell r="F245">
            <v>6836</v>
          </cell>
          <cell r="G245">
            <v>9167</v>
          </cell>
          <cell r="H245">
            <v>9763</v>
          </cell>
          <cell r="I245">
            <v>9485</v>
          </cell>
          <cell r="J245">
            <v>9485</v>
          </cell>
          <cell r="K245">
            <v>15039</v>
          </cell>
          <cell r="L245">
            <v>19992</v>
          </cell>
          <cell r="M245">
            <v>10564</v>
          </cell>
          <cell r="N245">
            <v>7752</v>
          </cell>
          <cell r="O245">
            <v>7752</v>
          </cell>
          <cell r="P245">
            <v>7059</v>
          </cell>
          <cell r="Q245">
            <v>8271</v>
          </cell>
          <cell r="R245">
            <v>9764</v>
          </cell>
          <cell r="S245">
            <v>10648.701344795512</v>
          </cell>
          <cell r="T245">
            <v>10648.701344795512</v>
          </cell>
          <cell r="U245">
            <v>10091.177590413237</v>
          </cell>
          <cell r="V245">
            <v>10738.457236273669</v>
          </cell>
          <cell r="W245">
            <v>10368.591501745563</v>
          </cell>
          <cell r="X245">
            <v>9902.3920048171531</v>
          </cell>
          <cell r="Y245">
            <v>9902.3920048171531</v>
          </cell>
          <cell r="Z245">
            <v>13785.402338027761</v>
          </cell>
          <cell r="AA245">
            <v>17092.449501127834</v>
          </cell>
          <cell r="AB245">
            <v>13815.647980715752</v>
          </cell>
        </row>
        <row r="246">
          <cell r="A246" t="str">
            <v>Short-Term &amp; Other Investments</v>
          </cell>
          <cell r="B246">
            <v>750</v>
          </cell>
          <cell r="C246">
            <v>1228</v>
          </cell>
          <cell r="D246">
            <v>1179</v>
          </cell>
          <cell r="E246">
            <v>927</v>
          </cell>
          <cell r="F246">
            <v>893</v>
          </cell>
          <cell r="G246">
            <v>439</v>
          </cell>
          <cell r="H246">
            <v>1150</v>
          </cell>
          <cell r="I246">
            <v>545</v>
          </cell>
          <cell r="J246">
            <v>545</v>
          </cell>
          <cell r="K246">
            <v>488</v>
          </cell>
          <cell r="L246">
            <v>12438</v>
          </cell>
          <cell r="M246">
            <v>16552</v>
          </cell>
          <cell r="N246">
            <v>17838</v>
          </cell>
          <cell r="O246">
            <v>17838</v>
          </cell>
          <cell r="P246">
            <v>14861</v>
          </cell>
          <cell r="Q246">
            <v>13071</v>
          </cell>
          <cell r="R246">
            <v>10231</v>
          </cell>
          <cell r="S246">
            <v>10231</v>
          </cell>
          <cell r="T246">
            <v>10231</v>
          </cell>
          <cell r="U246">
            <v>10231</v>
          </cell>
          <cell r="V246">
            <v>10231</v>
          </cell>
          <cell r="W246">
            <v>10231</v>
          </cell>
          <cell r="X246">
            <v>10231</v>
          </cell>
          <cell r="Y246">
            <v>10231</v>
          </cell>
          <cell r="Z246">
            <v>10231</v>
          </cell>
          <cell r="AA246">
            <v>10231</v>
          </cell>
          <cell r="AB246">
            <v>10231</v>
          </cell>
        </row>
        <row r="247">
          <cell r="A247" t="str">
            <v>Net Debt/(Net Cash)</v>
          </cell>
          <cell r="B247">
            <v>-2088</v>
          </cell>
          <cell r="C247">
            <v>-77</v>
          </cell>
          <cell r="D247">
            <v>1125</v>
          </cell>
          <cell r="E247">
            <v>5283</v>
          </cell>
          <cell r="F247">
            <v>7015</v>
          </cell>
          <cell r="G247">
            <v>9610</v>
          </cell>
          <cell r="H247">
            <v>13739</v>
          </cell>
          <cell r="I247">
            <v>17272</v>
          </cell>
          <cell r="J247">
            <v>17272</v>
          </cell>
          <cell r="K247">
            <v>23400</v>
          </cell>
          <cell r="L247">
            <v>28949</v>
          </cell>
          <cell r="M247">
            <v>33843</v>
          </cell>
          <cell r="N247">
            <v>37993</v>
          </cell>
          <cell r="O247">
            <v>37993</v>
          </cell>
          <cell r="P247">
            <v>41655</v>
          </cell>
          <cell r="Q247">
            <v>42217</v>
          </cell>
          <cell r="R247">
            <v>42424</v>
          </cell>
          <cell r="S247">
            <v>41539.298655204489</v>
          </cell>
          <cell r="T247">
            <v>41539.298655204489</v>
          </cell>
          <cell r="U247">
            <v>41596.822409586763</v>
          </cell>
          <cell r="V247">
            <v>40449.542763726335</v>
          </cell>
          <cell r="W247">
            <v>39819.408498254437</v>
          </cell>
          <cell r="X247">
            <v>39285.607995182843</v>
          </cell>
          <cell r="Y247">
            <v>39285.607995182843</v>
          </cell>
          <cell r="Z247">
            <v>27402.597661972235</v>
          </cell>
          <cell r="AA247">
            <v>12095.550498872166</v>
          </cell>
          <cell r="AB247">
            <v>5372.3520192842479</v>
          </cell>
        </row>
        <row r="249">
          <cell r="A249" t="str">
            <v>TTM Core EBITDA</v>
          </cell>
          <cell r="B249">
            <v>9574</v>
          </cell>
          <cell r="C249">
            <v>7059</v>
          </cell>
          <cell r="D249">
            <v>10953</v>
          </cell>
          <cell r="E249">
            <v>12774</v>
          </cell>
          <cell r="F249"/>
          <cell r="G249"/>
          <cell r="H249"/>
          <cell r="I249"/>
          <cell r="J249">
            <v>-1119</v>
          </cell>
          <cell r="K249"/>
          <cell r="L249"/>
          <cell r="M249"/>
          <cell r="N249"/>
          <cell r="O249">
            <v>-11904</v>
          </cell>
          <cell r="P249"/>
          <cell r="Q249"/>
          <cell r="R249"/>
          <cell r="T249">
            <v>2836.9326984118293</v>
          </cell>
          <cell r="Y249">
            <v>5465.5043039922339</v>
          </cell>
          <cell r="Z249">
            <v>7201.868480885485</v>
          </cell>
          <cell r="AA249">
            <v>9132.0724355289349</v>
          </cell>
          <cell r="AB249">
            <v>9833.316423553184</v>
          </cell>
        </row>
        <row r="250">
          <cell r="A250" t="str">
            <v>Net Leverage</v>
          </cell>
          <cell r="B250" t="str">
            <v>NM</v>
          </cell>
          <cell r="C250" t="str">
            <v>NM</v>
          </cell>
          <cell r="D250">
            <v>0.10271158586688578</v>
          </cell>
          <cell r="E250">
            <v>0.41357444809769844</v>
          </cell>
          <cell r="F250"/>
          <cell r="G250"/>
          <cell r="H250"/>
          <cell r="I250"/>
          <cell r="J250" t="str">
            <v>NM</v>
          </cell>
          <cell r="K250"/>
          <cell r="L250"/>
          <cell r="M250"/>
          <cell r="N250"/>
          <cell r="O250" t="str">
            <v>NM</v>
          </cell>
          <cell r="P250"/>
          <cell r="Q250"/>
          <cell r="R250"/>
          <cell r="T250">
            <v>14.642327848827364</v>
          </cell>
          <cell r="Y250">
            <v>7.1879200546026443</v>
          </cell>
          <cell r="Z250">
            <v>3.804928920140878</v>
          </cell>
          <cell r="AA250">
            <v>1.3245132016051058</v>
          </cell>
          <cell r="AB250">
            <v>0.54634182282756183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8">
          <cell r="K18">
            <v>126</v>
          </cell>
        </row>
      </sheetData>
      <sheetData sheetId="14">
        <row r="16">
          <cell r="K16">
            <v>2</v>
          </cell>
        </row>
      </sheetData>
      <sheetData sheetId="15">
        <row r="20">
          <cell r="K20">
            <v>4</v>
          </cell>
        </row>
      </sheetData>
      <sheetData sheetId="16">
        <row r="25">
          <cell r="K25">
            <v>10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"/>
      <sheetName val="Cover"/>
      <sheetName val="Summary"/>
      <sheetName val="Main Worksheet"/>
      <sheetName val="PE Trading History"/>
      <sheetName val="EV.EBITDA Trading History"/>
      <sheetName val="FCF Yield Trading History"/>
      <sheetName val="Valuation"/>
      <sheetName val="FactSet"/>
    </sheetNames>
    <sheetDataSet>
      <sheetData sheetId="0" refreshError="1"/>
      <sheetData sheetId="1" refreshError="1"/>
      <sheetData sheetId="2" refreshError="1"/>
      <sheetData sheetId="3">
        <row r="2">
          <cell r="J2" t="str">
            <v>FY 17</v>
          </cell>
          <cell r="K2" t="str">
            <v>Q1 18</v>
          </cell>
          <cell r="L2" t="str">
            <v>Q2 18</v>
          </cell>
          <cell r="M2" t="str">
            <v>Q3 18</v>
          </cell>
          <cell r="N2" t="str">
            <v>Q4 18</v>
          </cell>
          <cell r="O2" t="str">
            <v>FY 18</v>
          </cell>
          <cell r="P2" t="str">
            <v>Q1 19</v>
          </cell>
          <cell r="Q2" t="str">
            <v>Q2 19</v>
          </cell>
          <cell r="R2" t="str">
            <v>Q3 19</v>
          </cell>
          <cell r="S2" t="str">
            <v>Q4 19</v>
          </cell>
          <cell r="T2" t="str">
            <v>FY 19</v>
          </cell>
          <cell r="U2" t="str">
            <v>Q1 20</v>
          </cell>
          <cell r="V2" t="str">
            <v>Q2 20</v>
          </cell>
          <cell r="W2" t="str">
            <v>Q3 20</v>
          </cell>
          <cell r="X2" t="str">
            <v>Q4 20</v>
          </cell>
          <cell r="Y2" t="str">
            <v>FY 20</v>
          </cell>
          <cell r="Z2" t="str">
            <v>Q1 21</v>
          </cell>
          <cell r="AA2" t="str">
            <v>Q2 21</v>
          </cell>
          <cell r="AB2" t="str">
            <v>Q3 21</v>
          </cell>
          <cell r="AC2" t="str">
            <v>Q4 21e</v>
          </cell>
          <cell r="AD2" t="str">
            <v>FY 21e</v>
          </cell>
          <cell r="AE2" t="str">
            <v>Q1 22e</v>
          </cell>
          <cell r="AF2" t="str">
            <v>Q2 22e</v>
          </cell>
          <cell r="AG2" t="str">
            <v>Q3 22e</v>
          </cell>
          <cell r="AH2" t="str">
            <v>Q4 22e</v>
          </cell>
          <cell r="AI2" t="str">
            <v>FY 22e</v>
          </cell>
          <cell r="AJ2" t="str">
            <v>Q1 23e</v>
          </cell>
          <cell r="AK2" t="str">
            <v>Q2 23e</v>
          </cell>
          <cell r="AL2" t="str">
            <v>Q3 23e</v>
          </cell>
          <cell r="AM2" t="str">
            <v>Q4 23e</v>
          </cell>
          <cell r="AN2" t="str">
            <v>FY 23e</v>
          </cell>
          <cell r="AO2" t="str">
            <v>Q1 24e</v>
          </cell>
          <cell r="AP2" t="str">
            <v>Q2 24e</v>
          </cell>
          <cell r="AQ2" t="str">
            <v>Q3 24e</v>
          </cell>
          <cell r="AR2" t="str">
            <v>Q4 24e</v>
          </cell>
          <cell r="AS2" t="str">
            <v>FY 24e</v>
          </cell>
        </row>
        <row r="3">
          <cell r="A3" t="str">
            <v>Period Ended</v>
          </cell>
          <cell r="J3">
            <v>43100</v>
          </cell>
          <cell r="K3">
            <v>43190</v>
          </cell>
          <cell r="L3">
            <v>43281</v>
          </cell>
          <cell r="M3">
            <v>43373</v>
          </cell>
          <cell r="N3">
            <v>43465</v>
          </cell>
          <cell r="O3">
            <v>43465</v>
          </cell>
          <cell r="P3">
            <v>43555</v>
          </cell>
          <cell r="Q3">
            <v>43646</v>
          </cell>
          <cell r="R3">
            <v>43738</v>
          </cell>
          <cell r="S3">
            <v>43830</v>
          </cell>
          <cell r="T3">
            <v>43830</v>
          </cell>
          <cell r="U3">
            <v>43921</v>
          </cell>
          <cell r="V3">
            <v>44012</v>
          </cell>
          <cell r="W3">
            <v>44104</v>
          </cell>
          <cell r="X3">
            <v>44196</v>
          </cell>
          <cell r="Y3">
            <v>44196</v>
          </cell>
          <cell r="Z3">
            <v>44286</v>
          </cell>
          <cell r="AA3">
            <v>44377</v>
          </cell>
          <cell r="AB3">
            <v>44469</v>
          </cell>
          <cell r="AC3">
            <v>44561</v>
          </cell>
          <cell r="AD3">
            <v>44561</v>
          </cell>
          <cell r="AE3">
            <v>44651</v>
          </cell>
          <cell r="AF3">
            <v>44742</v>
          </cell>
          <cell r="AG3">
            <v>44834</v>
          </cell>
          <cell r="AH3">
            <v>44926</v>
          </cell>
          <cell r="AI3">
            <v>44926</v>
          </cell>
          <cell r="AJ3">
            <v>45016</v>
          </cell>
          <cell r="AK3">
            <v>45107</v>
          </cell>
          <cell r="AL3">
            <v>45199</v>
          </cell>
          <cell r="AM3">
            <v>45291</v>
          </cell>
          <cell r="AN3">
            <v>45291</v>
          </cell>
          <cell r="AO3">
            <v>45382</v>
          </cell>
          <cell r="AP3">
            <v>45473</v>
          </cell>
          <cell r="AQ3">
            <v>45565</v>
          </cell>
          <cell r="AR3">
            <v>45657</v>
          </cell>
          <cell r="AS3">
            <v>45657</v>
          </cell>
        </row>
        <row r="16">
          <cell r="A16" t="str">
            <v>Total Bizjet Deliveries</v>
          </cell>
          <cell r="J16">
            <v>180</v>
          </cell>
          <cell r="O16">
            <v>188</v>
          </cell>
          <cell r="P16">
            <v>44</v>
          </cell>
          <cell r="Q16">
            <v>46</v>
          </cell>
          <cell r="R16">
            <v>45</v>
          </cell>
          <cell r="S16">
            <v>71</v>
          </cell>
          <cell r="T16">
            <v>206</v>
          </cell>
          <cell r="U16">
            <v>23</v>
          </cell>
          <cell r="V16">
            <v>23</v>
          </cell>
          <cell r="W16">
            <v>25</v>
          </cell>
          <cell r="X16">
            <v>61</v>
          </cell>
          <cell r="Y16">
            <v>132</v>
          </cell>
          <cell r="Z16">
            <v>28</v>
          </cell>
          <cell r="AA16">
            <v>44</v>
          </cell>
          <cell r="AB16">
            <v>49</v>
          </cell>
          <cell r="AC16">
            <v>61</v>
          </cell>
          <cell r="AD16">
            <v>182</v>
          </cell>
          <cell r="AE16">
            <v>46</v>
          </cell>
          <cell r="AF16">
            <v>49</v>
          </cell>
          <cell r="AG16">
            <v>56</v>
          </cell>
          <cell r="AH16">
            <v>63</v>
          </cell>
          <cell r="AI16">
            <v>214</v>
          </cell>
          <cell r="AJ16">
            <v>51</v>
          </cell>
          <cell r="AK16">
            <v>54</v>
          </cell>
          <cell r="AL16">
            <v>59</v>
          </cell>
          <cell r="AM16">
            <v>64</v>
          </cell>
          <cell r="AN16">
            <v>228</v>
          </cell>
          <cell r="AO16">
            <v>51</v>
          </cell>
          <cell r="AP16">
            <v>54</v>
          </cell>
          <cell r="AQ16">
            <v>59</v>
          </cell>
          <cell r="AR16">
            <v>70</v>
          </cell>
          <cell r="AS16">
            <v>234</v>
          </cell>
        </row>
        <row r="120">
          <cell r="A120" t="str">
            <v>Net sales</v>
          </cell>
          <cell r="O120">
            <v>13972</v>
          </cell>
          <cell r="P120">
            <v>3109</v>
          </cell>
          <cell r="Q120">
            <v>3227</v>
          </cell>
          <cell r="R120">
            <v>3259</v>
          </cell>
          <cell r="S120">
            <v>4035</v>
          </cell>
          <cell r="T120">
            <v>13630</v>
          </cell>
          <cell r="U120">
            <v>2777</v>
          </cell>
          <cell r="V120">
            <v>2472</v>
          </cell>
          <cell r="W120">
            <v>2735</v>
          </cell>
          <cell r="X120">
            <v>3667</v>
          </cell>
          <cell r="Y120">
            <v>11651</v>
          </cell>
          <cell r="Z120">
            <v>2879</v>
          </cell>
          <cell r="AA120">
            <v>3191</v>
          </cell>
          <cell r="AB120">
            <v>2990</v>
          </cell>
          <cell r="AC120">
            <v>3413.9627</v>
          </cell>
          <cell r="AD120">
            <v>12473.9627</v>
          </cell>
          <cell r="AE120">
            <v>3189.4823779999997</v>
          </cell>
          <cell r="AF120">
            <v>3360.8148620000002</v>
          </cell>
          <cell r="AG120">
            <v>3423.2593045000003</v>
          </cell>
          <cell r="AH120">
            <v>3680.9767189999998</v>
          </cell>
          <cell r="AI120">
            <v>13654.533263499998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14396.423234025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14891.010806838902</v>
          </cell>
        </row>
        <row r="122">
          <cell r="A122" t="str">
            <v>FactSet Consensus Sales</v>
          </cell>
          <cell r="AC122">
            <v>3455.9573</v>
          </cell>
          <cell r="AD122">
            <v>12508.882</v>
          </cell>
          <cell r="AE122">
            <v>2980.3539999999998</v>
          </cell>
          <cell r="AF122">
            <v>3309.3227999999999</v>
          </cell>
          <cell r="AG122">
            <v>3475.5909999999999</v>
          </cell>
          <cell r="AH122">
            <v>4111</v>
          </cell>
          <cell r="AI122">
            <v>13628.155000000001</v>
          </cell>
          <cell r="AN122">
            <v>14455.227000000001</v>
          </cell>
          <cell r="AS122">
            <v>14047.592000000001</v>
          </cell>
        </row>
        <row r="123">
          <cell r="A123" t="str">
            <v>Melius vs. Consensus</v>
          </cell>
          <cell r="AC123">
            <v>-1.2151365411835381E-2</v>
          </cell>
          <cell r="AD123">
            <v>-2.791560428821662E-3</v>
          </cell>
          <cell r="AE123">
            <v>7.0168972544872157E-2</v>
          </cell>
          <cell r="AF123">
            <v>1.555969759130184E-2</v>
          </cell>
          <cell r="AG123">
            <v>-1.505691995979952E-2</v>
          </cell>
          <cell r="AH123">
            <v>-0.10460308465093657</v>
          </cell>
          <cell r="AI123">
            <v>1.935571139306608E-3</v>
          </cell>
          <cell r="AN123">
            <v>-4.0679932577330482E-3</v>
          </cell>
          <cell r="AS123">
            <v>6.0040098462348652E-2</v>
          </cell>
        </row>
        <row r="131">
          <cell r="A131" t="str">
            <v>Net Sales Growth Y/Y</v>
          </cell>
          <cell r="T131">
            <v>-2.4477526481534499E-2</v>
          </cell>
          <cell r="U131">
            <v>-0.10678674815053071</v>
          </cell>
          <cell r="V131">
            <v>-0.23396343352959406</v>
          </cell>
          <cell r="W131">
            <v>-0.16078551702976374</v>
          </cell>
          <cell r="X131">
            <v>-9.1201982651796784E-2</v>
          </cell>
          <cell r="Y131">
            <v>-0.14519442406456345</v>
          </cell>
          <cell r="Z131">
            <v>3.6730284479654304E-2</v>
          </cell>
          <cell r="AA131">
            <v>0.29085760517799353</v>
          </cell>
          <cell r="AB131">
            <v>9.3235831809872036E-2</v>
          </cell>
          <cell r="AC131">
            <v>-6.9003899645486769E-2</v>
          </cell>
          <cell r="AD131">
            <v>7.0634512059050733E-2</v>
          </cell>
          <cell r="AE131">
            <v>0.10784382702327186</v>
          </cell>
          <cell r="AF131">
            <v>5.3216816671889745E-2</v>
          </cell>
          <cell r="AG131">
            <v>0.14490277742474927</v>
          </cell>
          <cell r="AH131">
            <v>7.8212342214517963E-2</v>
          </cell>
          <cell r="AI131">
            <v>9.4642784485799186E-2</v>
          </cell>
          <cell r="AN131">
            <v>5.4332869253623794E-2</v>
          </cell>
          <cell r="AS131">
            <v>3.4354892515592102E-2</v>
          </cell>
        </row>
        <row r="160">
          <cell r="A160" t="str">
            <v>Adjusted EBIT</v>
          </cell>
          <cell r="O160">
            <v>1148</v>
          </cell>
          <cell r="P160">
            <v>247</v>
          </cell>
          <cell r="Q160">
            <v>315</v>
          </cell>
          <cell r="R160">
            <v>280</v>
          </cell>
          <cell r="S160">
            <v>318</v>
          </cell>
          <cell r="T160">
            <v>1160</v>
          </cell>
          <cell r="U160">
            <v>142</v>
          </cell>
          <cell r="V160">
            <v>52</v>
          </cell>
          <cell r="W160">
            <v>161</v>
          </cell>
          <cell r="X160">
            <v>274</v>
          </cell>
          <cell r="Y160">
            <v>629</v>
          </cell>
          <cell r="Z160">
            <v>216</v>
          </cell>
          <cell r="AA160">
            <v>252</v>
          </cell>
          <cell r="AB160">
            <v>256</v>
          </cell>
          <cell r="AC160">
            <v>283.28705830000001</v>
          </cell>
          <cell r="AD160">
            <v>1007.2870583000001</v>
          </cell>
          <cell r="AE160">
            <v>281.03629591000004</v>
          </cell>
          <cell r="AF160">
            <v>301.96545675200002</v>
          </cell>
          <cell r="AG160">
            <v>307.24912184100003</v>
          </cell>
          <cell r="AH160">
            <v>337.67674982000005</v>
          </cell>
          <cell r="AI160">
            <v>1227.9276243230001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1314.651982309575</v>
          </cell>
          <cell r="AO160">
            <v>0</v>
          </cell>
          <cell r="AP160">
            <v>0</v>
          </cell>
          <cell r="AQ160">
            <v>0</v>
          </cell>
          <cell r="AR160">
            <v>0</v>
          </cell>
          <cell r="AS160">
            <v>1377.8821852350234</v>
          </cell>
        </row>
        <row r="161">
          <cell r="A161" t="str">
            <v>Adjusted EBIT Margin</v>
          </cell>
          <cell r="O161">
            <v>8.2164328657314628E-2</v>
          </cell>
          <cell r="P161">
            <v>7.9446767449340622E-2</v>
          </cell>
          <cell r="Q161">
            <v>9.7613882863340565E-2</v>
          </cell>
          <cell r="R161">
            <v>8.5915925130408105E-2</v>
          </cell>
          <cell r="S161">
            <v>7.8810408921933084E-2</v>
          </cell>
          <cell r="T161">
            <v>8.5106382978723402E-2</v>
          </cell>
          <cell r="U161">
            <v>5.1134317608930502E-2</v>
          </cell>
          <cell r="V161">
            <v>2.1035598705501618E-2</v>
          </cell>
          <cell r="W161">
            <v>5.8866544789762339E-2</v>
          </cell>
          <cell r="X161">
            <v>7.4720479956367603E-2</v>
          </cell>
          <cell r="Y161">
            <v>5.3986782250450602E-2</v>
          </cell>
          <cell r="Z161">
            <v>7.5026050712052803E-2</v>
          </cell>
          <cell r="AA161">
            <v>7.8972109056722029E-2</v>
          </cell>
          <cell r="AB161">
            <v>8.5618729096989962E-2</v>
          </cell>
          <cell r="AC161">
            <v>8.2978955306102206E-2</v>
          </cell>
          <cell r="AD161">
            <v>8.0751168055039971E-2</v>
          </cell>
          <cell r="AE161">
            <v>8.811344995930874E-2</v>
          </cell>
          <cell r="AF161">
            <v>8.9848881640657297E-2</v>
          </cell>
          <cell r="AG161">
            <v>8.9753388367953824E-2</v>
          </cell>
          <cell r="AH161">
            <v>9.1735638554034576E-2</v>
          </cell>
          <cell r="AI161">
            <v>8.9928201911183572E-2</v>
          </cell>
          <cell r="AN161">
            <v>9.1317958699802707E-2</v>
          </cell>
          <cell r="AS161">
            <v>9.2531138625069828E-2</v>
          </cell>
        </row>
        <row r="195">
          <cell r="A195" t="str">
            <v>Adjusted Net Income from Continuing Operations</v>
          </cell>
          <cell r="O195">
            <v>845</v>
          </cell>
          <cell r="P195">
            <v>179</v>
          </cell>
          <cell r="Q195">
            <v>217</v>
          </cell>
          <cell r="R195">
            <v>220</v>
          </cell>
          <cell r="S195">
            <v>254</v>
          </cell>
          <cell r="T195">
            <v>870</v>
          </cell>
          <cell r="U195">
            <v>80</v>
          </cell>
          <cell r="V195">
            <v>30</v>
          </cell>
          <cell r="W195">
            <v>121.4</v>
          </cell>
          <cell r="X195">
            <v>243.6</v>
          </cell>
          <cell r="Y195">
            <v>475</v>
          </cell>
          <cell r="Z195">
            <v>160</v>
          </cell>
          <cell r="AA195">
            <v>185.6880733944954</v>
          </cell>
          <cell r="AB195">
            <v>193.48623853211009</v>
          </cell>
          <cell r="AC195">
            <v>209.09399955500001</v>
          </cell>
          <cell r="AD195">
            <v>748.26831148160556</v>
          </cell>
          <cell r="AE195">
            <v>212.55048856440004</v>
          </cell>
          <cell r="AF195">
            <v>230.13098367168001</v>
          </cell>
          <cell r="AG195">
            <v>234.56926234644004</v>
          </cell>
          <cell r="AH195">
            <v>260.12846984880002</v>
          </cell>
          <cell r="AI195">
            <v>937.37920443132009</v>
          </cell>
          <cell r="AJ195">
            <v>0</v>
          </cell>
          <cell r="AK195">
            <v>0</v>
          </cell>
          <cell r="AL195">
            <v>0</v>
          </cell>
          <cell r="AM195">
            <v>0</v>
          </cell>
          <cell r="AN195">
            <v>977.56846514004292</v>
          </cell>
          <cell r="AO195">
            <v>0</v>
          </cell>
          <cell r="AP195">
            <v>0</v>
          </cell>
          <cell r="AQ195">
            <v>0</v>
          </cell>
          <cell r="AR195">
            <v>0</v>
          </cell>
          <cell r="AS195">
            <v>1030.6818355974196</v>
          </cell>
        </row>
        <row r="198">
          <cell r="A198" t="str">
            <v>Adjusted EPS - Diluted</v>
          </cell>
          <cell r="O198">
            <v>3.3367951760603702</v>
          </cell>
          <cell r="P198">
            <v>0.75707270858621956</v>
          </cell>
          <cell r="Q198">
            <v>0.92915712175383769</v>
          </cell>
          <cell r="R198">
            <v>0.951981202698434</v>
          </cell>
          <cell r="S198">
            <v>1.1053570651464382</v>
          </cell>
          <cell r="T198">
            <v>3.738574786535974</v>
          </cell>
          <cell r="U198">
            <v>0.34945637692364817</v>
          </cell>
          <cell r="V198">
            <v>0.13143655776417651</v>
          </cell>
          <cell r="W198">
            <v>0.52948591017930124</v>
          </cell>
          <cell r="X198">
            <v>1.0620626512327511</v>
          </cell>
          <cell r="Y198">
            <v>2.0744260390690847</v>
          </cell>
          <cell r="Z198">
            <v>0.70088135830807241</v>
          </cell>
          <cell r="AA198">
            <v>0.81283136231098552</v>
          </cell>
          <cell r="AB198">
            <v>0.85428159535568937</v>
          </cell>
          <cell r="AC198">
            <v>0.92943238676540252</v>
          </cell>
          <cell r="AD198">
            <v>3.2956481355399507</v>
          </cell>
          <cell r="AE198">
            <v>0.95540030487310035</v>
          </cell>
          <cell r="AF198">
            <v>1.0248516624191399</v>
          </cell>
          <cell r="AG198">
            <v>1.0663410145715404</v>
          </cell>
          <cell r="AH198">
            <v>1.1714666635727049</v>
          </cell>
          <cell r="AI198">
            <v>4.2174289961901072</v>
          </cell>
          <cell r="AN198">
            <v>4.6086407641079976</v>
          </cell>
          <cell r="AS198">
            <v>5.0965377193966193</v>
          </cell>
        </row>
        <row r="200">
          <cell r="A200" t="str">
            <v>FactSet Consensus EPS</v>
          </cell>
          <cell r="AC200">
            <v>0.95000773999999999</v>
          </cell>
          <cell r="AD200">
            <v>3.313542</v>
          </cell>
          <cell r="AE200">
            <v>0.77833330000000001</v>
          </cell>
          <cell r="AF200">
            <v>0.95666664999999995</v>
          </cell>
          <cell r="AG200">
            <v>1.0316666000000001</v>
          </cell>
          <cell r="AH200">
            <v>1.3360000000000001</v>
          </cell>
          <cell r="AI200">
            <v>4.0107492999999996</v>
          </cell>
          <cell r="AN200">
            <v>4.7216490000000002</v>
          </cell>
          <cell r="AS200">
            <v>4.7810870000000003</v>
          </cell>
        </row>
        <row r="201">
          <cell r="A201" t="str">
            <v>Melius vs. Consensus</v>
          </cell>
          <cell r="AC201">
            <v>-9.2076505345336842E-3</v>
          </cell>
          <cell r="AD201">
            <v>5.0152277334385223E-3</v>
          </cell>
          <cell r="AE201">
            <v>0.2432938458081188</v>
          </cell>
          <cell r="AF201">
            <v>8.2617973747642362E-2</v>
          </cell>
          <cell r="AG201">
            <v>4.7066377657524201E-2</v>
          </cell>
          <cell r="AH201">
            <v>-0.1137626476820789</v>
          </cell>
          <cell r="AI201">
            <v>6.3929252388891675E-2</v>
          </cell>
          <cell r="AN201">
            <v>-1.2985140924304793E-2</v>
          </cell>
          <cell r="AS201">
            <v>7.8527718365041535E-2</v>
          </cell>
        </row>
        <row r="208">
          <cell r="A208" t="str">
            <v>Adjusted EBITDA</v>
          </cell>
          <cell r="O208">
            <v>1585</v>
          </cell>
          <cell r="P208">
            <v>349</v>
          </cell>
          <cell r="Q208">
            <v>415</v>
          </cell>
          <cell r="R208">
            <v>380</v>
          </cell>
          <cell r="S208">
            <v>432</v>
          </cell>
          <cell r="T208">
            <v>1576</v>
          </cell>
          <cell r="U208">
            <v>232</v>
          </cell>
          <cell r="V208">
            <v>150</v>
          </cell>
          <cell r="W208">
            <v>256</v>
          </cell>
          <cell r="X208">
            <v>382</v>
          </cell>
          <cell r="Y208">
            <v>1020</v>
          </cell>
          <cell r="Z208">
            <v>306</v>
          </cell>
          <cell r="AA208">
            <v>350</v>
          </cell>
          <cell r="AB208">
            <v>353</v>
          </cell>
          <cell r="AC208">
            <v>380.28705830000001</v>
          </cell>
          <cell r="AD208">
            <v>1389.2870583000001</v>
          </cell>
          <cell r="AE208">
            <v>374.63629591000006</v>
          </cell>
          <cell r="AF208">
            <v>395.56545675200005</v>
          </cell>
          <cell r="AG208">
            <v>400.84912184100006</v>
          </cell>
          <cell r="AH208">
            <v>431.27674982000008</v>
          </cell>
          <cell r="AI208">
            <v>1602.3276243230002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1669.7519823095749</v>
          </cell>
          <cell r="AO208">
            <v>0</v>
          </cell>
          <cell r="AP208">
            <v>0</v>
          </cell>
          <cell r="AQ208">
            <v>0</v>
          </cell>
          <cell r="AR208">
            <v>0</v>
          </cell>
          <cell r="AS208">
            <v>1729.9821852350233</v>
          </cell>
        </row>
        <row r="209">
          <cell r="A209" t="str">
            <v>Adjusted EBITDA Margin</v>
          </cell>
          <cell r="O209">
            <v>0.11344116805038648</v>
          </cell>
          <cell r="P209">
            <v>0.11225474429076873</v>
          </cell>
          <cell r="Q209">
            <v>0.12860241710567091</v>
          </cell>
          <cell r="R209">
            <v>0.11660018410555385</v>
          </cell>
          <cell r="S209">
            <v>0.10706319702602231</v>
          </cell>
          <cell r="T209">
            <v>0.11562729273661042</v>
          </cell>
          <cell r="U209">
            <v>8.3543392149801943E-2</v>
          </cell>
          <cell r="V209">
            <v>6.0679611650485438E-2</v>
          </cell>
          <cell r="W209">
            <v>9.3601462522851925E-2</v>
          </cell>
          <cell r="X209">
            <v>0.10417234796836651</v>
          </cell>
          <cell r="Y209">
            <v>8.754613337910909E-2</v>
          </cell>
          <cell r="Z209">
            <v>0.10628690517540813</v>
          </cell>
          <cell r="AA209">
            <v>0.10968348480100282</v>
          </cell>
          <cell r="AB209">
            <v>0.11806020066889632</v>
          </cell>
          <cell r="AC209">
            <v>0.11139168518156335</v>
          </cell>
          <cell r="AD209">
            <v>0.11137495691725935</v>
          </cell>
          <cell r="AE209">
            <v>0.1174599046209247</v>
          </cell>
          <cell r="AF209">
            <v>0.11769927026465286</v>
          </cell>
          <cell r="AG209">
            <v>0.11709575179247132</v>
          </cell>
          <cell r="AH209">
            <v>0.11716367223783034</v>
          </cell>
          <cell r="AI209">
            <v>0.11734766713749128</v>
          </cell>
          <cell r="AN209">
            <v>0.11598380758654177</v>
          </cell>
          <cell r="AS209">
            <v>0.11617627625657925</v>
          </cell>
        </row>
        <row r="211">
          <cell r="A211" t="str">
            <v>FactSet Consensus EBITDA</v>
          </cell>
          <cell r="AC211">
            <v>400.52566999999999</v>
          </cell>
          <cell r="AD211">
            <v>1411.7722000000001</v>
          </cell>
          <cell r="AE211">
            <v>340</v>
          </cell>
          <cell r="AF211">
            <v>397</v>
          </cell>
          <cell r="AG211">
            <v>428</v>
          </cell>
          <cell r="AH211">
            <v>487</v>
          </cell>
          <cell r="AI211">
            <v>1609.0251000000001</v>
          </cell>
          <cell r="AN211">
            <v>1789.4874</v>
          </cell>
          <cell r="AS211">
            <v>1757.2411999999999</v>
          </cell>
        </row>
        <row r="212">
          <cell r="A212" t="str">
            <v>Melius vs. Consensus</v>
          </cell>
          <cell r="AC212">
            <v>-5.0530123824522856E-2</v>
          </cell>
          <cell r="AD212">
            <v>-1.5926890825587858E-2</v>
          </cell>
          <cell r="AE212">
            <v>0.10187145855882369</v>
          </cell>
          <cell r="AF212">
            <v>-3.6134590629721777E-3</v>
          </cell>
          <cell r="AG212">
            <v>-6.3436631212616695E-2</v>
          </cell>
          <cell r="AH212">
            <v>-0.11442145827515385</v>
          </cell>
          <cell r="AI212">
            <v>-4.1624432564786153E-3</v>
          </cell>
          <cell r="AN212">
            <v>-6.6910455860390544E-2</v>
          </cell>
          <cell r="AS212">
            <v>-1.5512392245854842E-2</v>
          </cell>
        </row>
        <row r="263">
          <cell r="A263" t="str">
            <v>Operating Cash Flow from Continuing Operations</v>
          </cell>
          <cell r="O263">
            <v>1109</v>
          </cell>
          <cell r="P263">
            <v>-216</v>
          </cell>
          <cell r="Q263">
            <v>156</v>
          </cell>
          <cell r="R263">
            <v>285</v>
          </cell>
          <cell r="S263">
            <v>791</v>
          </cell>
          <cell r="T263">
            <v>1016</v>
          </cell>
          <cell r="U263">
            <v>-394</v>
          </cell>
          <cell r="V263">
            <v>242</v>
          </cell>
          <cell r="W263">
            <v>352.4</v>
          </cell>
          <cell r="X263">
            <v>568.6</v>
          </cell>
          <cell r="Y263">
            <v>769</v>
          </cell>
          <cell r="Z263">
            <v>181</v>
          </cell>
          <cell r="AA263">
            <v>592</v>
          </cell>
          <cell r="AB263">
            <v>401</v>
          </cell>
          <cell r="AC263">
            <v>417.09601124672071</v>
          </cell>
          <cell r="AD263">
            <v>1591.096011246721</v>
          </cell>
          <cell r="AE263">
            <v>390.71402515440053</v>
          </cell>
          <cell r="AF263">
            <v>395.26047967667944</v>
          </cell>
          <cell r="AG263">
            <v>388.66674436894044</v>
          </cell>
          <cell r="AH263">
            <v>195.98614064105064</v>
          </cell>
          <cell r="AI263">
            <v>1370.6273898410711</v>
          </cell>
          <cell r="AJ263">
            <v>0</v>
          </cell>
          <cell r="AK263">
            <v>0</v>
          </cell>
          <cell r="AL263">
            <v>0</v>
          </cell>
          <cell r="AM263">
            <v>0</v>
          </cell>
          <cell r="AN263">
            <v>1357.2840913985881</v>
          </cell>
          <cell r="AO263">
            <v>0</v>
          </cell>
          <cell r="AP263">
            <v>0</v>
          </cell>
          <cell r="AQ263">
            <v>0</v>
          </cell>
          <cell r="AR263">
            <v>0</v>
          </cell>
          <cell r="AS263">
            <v>1390.0677941096299</v>
          </cell>
        </row>
        <row r="264">
          <cell r="A264" t="str">
            <v>Capex</v>
          </cell>
          <cell r="O264">
            <v>-369</v>
          </cell>
          <cell r="P264">
            <v>-59</v>
          </cell>
          <cell r="Q264">
            <v>-76</v>
          </cell>
          <cell r="R264">
            <v>-81</v>
          </cell>
          <cell r="S264">
            <v>-123</v>
          </cell>
          <cell r="T264">
            <v>-339</v>
          </cell>
          <cell r="U264">
            <v>-50</v>
          </cell>
          <cell r="V264">
            <v>-46</v>
          </cell>
          <cell r="W264">
            <v>-55</v>
          </cell>
          <cell r="X264">
            <v>-166</v>
          </cell>
          <cell r="Y264">
            <v>-317</v>
          </cell>
          <cell r="Z264">
            <v>-53</v>
          </cell>
          <cell r="AA264">
            <v>-75</v>
          </cell>
          <cell r="AB264">
            <v>-76</v>
          </cell>
          <cell r="AC264">
            <v>-196</v>
          </cell>
          <cell r="AD264">
            <v>-400</v>
          </cell>
          <cell r="AE264">
            <v>-92.132488961999996</v>
          </cell>
          <cell r="AF264">
            <v>-97.101130998000016</v>
          </cell>
          <cell r="AG264">
            <v>-98.912019830500014</v>
          </cell>
          <cell r="AH264">
            <v>-106.85436020949999</v>
          </cell>
          <cell r="AI264">
            <v>-395</v>
          </cell>
          <cell r="AJ264">
            <v>0</v>
          </cell>
          <cell r="AK264">
            <v>0</v>
          </cell>
          <cell r="AL264">
            <v>0</v>
          </cell>
          <cell r="AM264">
            <v>0</v>
          </cell>
          <cell r="AN264">
            <v>-387.35342731867502</v>
          </cell>
          <cell r="AO264">
            <v>0</v>
          </cell>
          <cell r="AP264">
            <v>0</v>
          </cell>
          <cell r="AQ264">
            <v>0</v>
          </cell>
          <cell r="AR264">
            <v>0</v>
          </cell>
          <cell r="AS264">
            <v>-371.02527017097259</v>
          </cell>
        </row>
        <row r="265">
          <cell r="A265" t="str">
            <v>Free Cash Flow from Continuing Operations</v>
          </cell>
          <cell r="O265">
            <v>740</v>
          </cell>
          <cell r="P265">
            <v>-275</v>
          </cell>
          <cell r="Q265">
            <v>80</v>
          </cell>
          <cell r="R265">
            <v>204</v>
          </cell>
          <cell r="S265">
            <v>668</v>
          </cell>
          <cell r="T265">
            <v>677</v>
          </cell>
          <cell r="U265">
            <v>-444</v>
          </cell>
          <cell r="V265">
            <v>196</v>
          </cell>
          <cell r="W265">
            <v>297.39999999999998</v>
          </cell>
          <cell r="X265">
            <v>402.6</v>
          </cell>
          <cell r="Y265">
            <v>452</v>
          </cell>
          <cell r="Z265">
            <v>128</v>
          </cell>
          <cell r="AA265">
            <v>517</v>
          </cell>
          <cell r="AB265">
            <v>325</v>
          </cell>
          <cell r="AC265">
            <v>221.09601124672071</v>
          </cell>
          <cell r="AD265">
            <v>1191.096011246721</v>
          </cell>
          <cell r="AE265">
            <v>298.58153619240056</v>
          </cell>
          <cell r="AF265">
            <v>298.15934867867941</v>
          </cell>
          <cell r="AG265">
            <v>289.75472453844043</v>
          </cell>
          <cell r="AH265">
            <v>89.131780431550652</v>
          </cell>
          <cell r="AI265">
            <v>975.62738984107114</v>
          </cell>
          <cell r="AJ265">
            <v>0</v>
          </cell>
          <cell r="AK265">
            <v>0</v>
          </cell>
          <cell r="AL265">
            <v>0</v>
          </cell>
          <cell r="AM265">
            <v>0</v>
          </cell>
          <cell r="AN265">
            <v>969.93066407991307</v>
          </cell>
          <cell r="AO265">
            <v>0</v>
          </cell>
          <cell r="AP265">
            <v>0</v>
          </cell>
          <cell r="AQ265">
            <v>0</v>
          </cell>
          <cell r="AR265">
            <v>0</v>
          </cell>
          <cell r="AS265">
            <v>1019.0425239386573</v>
          </cell>
        </row>
        <row r="266">
          <cell r="A266" t="str">
            <v>FCF/Share from Continuing Operations</v>
          </cell>
          <cell r="O266">
            <v>2.9221638228220996</v>
          </cell>
          <cell r="P266">
            <v>-1.1631005299508959</v>
          </cell>
          <cell r="Q266">
            <v>0.34254640433321204</v>
          </cell>
          <cell r="R266">
            <v>0.88274620613854782</v>
          </cell>
          <cell r="S266">
            <v>2.9070020453457506</v>
          </cell>
          <cell r="T266">
            <v>2.9092127936607524</v>
          </cell>
          <cell r="U266">
            <v>-1.9394828919262472</v>
          </cell>
          <cell r="V266">
            <v>0.85871884405928656</v>
          </cell>
          <cell r="W266">
            <v>1.2971096349861957</v>
          </cell>
          <cell r="X266">
            <v>1.7552808841802368</v>
          </cell>
          <cell r="Y266">
            <v>1.9739801466510027</v>
          </cell>
          <cell r="Z266">
            <v>0.56070508664645791</v>
          </cell>
          <cell r="AA266">
            <v>2.2631168853908581</v>
          </cell>
          <cell r="AB266">
            <v>1.4349419400415029</v>
          </cell>
          <cell r="AC266">
            <v>0.98278187740771061</v>
          </cell>
          <cell r="AD266">
            <v>5.2460237704598107</v>
          </cell>
          <cell r="AE266">
            <v>1.3421041402182736</v>
          </cell>
          <cell r="AF266">
            <v>1.3278051450694599</v>
          </cell>
          <cell r="AG266">
            <v>1.3172115726095559</v>
          </cell>
          <cell r="AH266">
            <v>0.40139746910876323</v>
          </cell>
          <cell r="AI266">
            <v>4.3895141090624383</v>
          </cell>
          <cell r="AN266">
            <v>4.5726331773567015</v>
          </cell>
          <cell r="AS266">
            <v>5.0389834006457592</v>
          </cell>
        </row>
        <row r="268">
          <cell r="A268" t="str">
            <v>FactSet Consensus Free Cash Flow</v>
          </cell>
          <cell r="AC268">
            <v>178.91804999999999</v>
          </cell>
          <cell r="AD268">
            <v>1073.3507999999999</v>
          </cell>
          <cell r="AE268">
            <v>88</v>
          </cell>
          <cell r="AF268">
            <v>278</v>
          </cell>
          <cell r="AG268">
            <v>350</v>
          </cell>
          <cell r="AH268">
            <v>423</v>
          </cell>
          <cell r="AI268">
            <v>1003.57196</v>
          </cell>
          <cell r="AN268">
            <v>995.84466999999995</v>
          </cell>
          <cell r="AS268">
            <v>1014.2199000000001</v>
          </cell>
        </row>
        <row r="269">
          <cell r="A269" t="str">
            <v>Melius vs. Consensus</v>
          </cell>
          <cell r="AC269">
            <v>0.23573899473373824</v>
          </cell>
          <cell r="AD269">
            <v>0.10969872221339105</v>
          </cell>
          <cell r="AE269">
            <v>2.3929720021863701</v>
          </cell>
          <cell r="AF269">
            <v>7.2515642729062621E-2</v>
          </cell>
          <cell r="AG269">
            <v>-0.17212935846159877</v>
          </cell>
          <cell r="AH269">
            <v>-0.78928657108380462</v>
          </cell>
          <cell r="AI269">
            <v>-2.7845108545010419E-2</v>
          </cell>
          <cell r="AN269">
            <v>-2.6022136484484957E-2</v>
          </cell>
          <cell r="AS269">
            <v>4.7550081975883292E-3</v>
          </cell>
        </row>
        <row r="367">
          <cell r="A367" t="str">
            <v>Net Debt</v>
          </cell>
          <cell r="O367">
            <v>2677</v>
          </cell>
          <cell r="P367">
            <v>3144</v>
          </cell>
          <cell r="Q367">
            <v>3213</v>
          </cell>
          <cell r="R367">
            <v>3119</v>
          </cell>
          <cell r="S367">
            <v>2453</v>
          </cell>
          <cell r="T367">
            <v>2453</v>
          </cell>
          <cell r="U367">
            <v>2588</v>
          </cell>
          <cell r="V367">
            <v>2386</v>
          </cell>
          <cell r="W367">
            <v>2054</v>
          </cell>
          <cell r="X367">
            <v>2115</v>
          </cell>
          <cell r="Y367">
            <v>2115</v>
          </cell>
          <cell r="Z367">
            <v>2015</v>
          </cell>
          <cell r="AA367">
            <v>1645</v>
          </cell>
          <cell r="AB367">
            <v>1590</v>
          </cell>
          <cell r="AC367">
            <v>1498.3468400491365</v>
          </cell>
          <cell r="AD367">
            <v>1498.3468400491365</v>
          </cell>
          <cell r="AE367">
            <v>1399.158217922854</v>
          </cell>
          <cell r="AF367">
            <v>1300.4428198383998</v>
          </cell>
          <cell r="AG367">
            <v>1210.0310721363385</v>
          </cell>
          <cell r="AH367">
            <v>1320.2933050692736</v>
          </cell>
          <cell r="AI367">
            <v>1320.2933050692736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1146.743716068172</v>
          </cell>
          <cell r="AO367">
            <v>0</v>
          </cell>
          <cell r="AP367">
            <v>0</v>
          </cell>
          <cell r="AQ367">
            <v>0</v>
          </cell>
          <cell r="AR367">
            <v>0</v>
          </cell>
          <cell r="AS367">
            <v>922.88349359973381</v>
          </cell>
        </row>
        <row r="370">
          <cell r="A370" t="str">
            <v>Net Leverage</v>
          </cell>
          <cell r="O370">
            <v>1.6889589905362776</v>
          </cell>
          <cell r="S370">
            <v>1.5564720812182742</v>
          </cell>
          <cell r="T370">
            <v>1.5564720812182742</v>
          </cell>
          <cell r="U370">
            <v>1.7738176833447568</v>
          </cell>
          <cell r="V370">
            <v>1.9983249581239531</v>
          </cell>
          <cell r="W370">
            <v>1.919626168224299</v>
          </cell>
          <cell r="X370">
            <v>2.0735294117647061</v>
          </cell>
          <cell r="Y370">
            <v>2.0735294117647061</v>
          </cell>
          <cell r="Z370">
            <v>1.8418647166361974</v>
          </cell>
          <cell r="AA370">
            <v>1.2712519319938176</v>
          </cell>
          <cell r="AB370">
            <v>1.1430625449317038</v>
          </cell>
          <cell r="AC370">
            <v>1.0785005381699786</v>
          </cell>
          <cell r="AD370">
            <v>1.0785005381699786</v>
          </cell>
          <cell r="AE370">
            <v>0.95969257497834037</v>
          </cell>
          <cell r="AF370">
            <v>0.86495011493056451</v>
          </cell>
          <cell r="AG370">
            <v>0.77999193247986986</v>
          </cell>
          <cell r="AH370">
            <v>0.82398461152856362</v>
          </cell>
          <cell r="AI370">
            <v>0.82398461152856362</v>
          </cell>
          <cell r="AN370">
            <v>0.68677487927399494</v>
          </cell>
          <cell r="AS370">
            <v>0.53346416019559029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amsec.com/filing/95017023001777/1?table=9&amp;utm_source=table-download&amp;utm_medium=excel&amp;utm_campaign=tables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amsec.com/filing/10831220000004/1?table=6&amp;utm_source=table-download&amp;utm_medium=excel&amp;utm_campaign=tables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amsec.com/filing/95017023001777/1?table=6&amp;utm_source=table-download&amp;utm_medium=excel&amp;utm_campaign=tables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amsec.com/filing/95017023001777/1?table=8&amp;utm_source=table-download&amp;utm_medium=excel&amp;utm_campaign=tab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79836-A200-4DF7-975C-40D245E52563}">
  <sheetPr>
    <tabColor theme="1"/>
  </sheetPr>
  <dimension ref="B33:G35"/>
  <sheetViews>
    <sheetView showGridLines="0" tabSelected="1" workbookViewId="0"/>
  </sheetViews>
  <sheetFormatPr defaultRowHeight="14.25" x14ac:dyDescent="0.2"/>
  <cols>
    <col min="1" max="1" width="9.140625" style="51"/>
    <col min="2" max="2" width="50.5703125" style="51" bestFit="1" customWidth="1"/>
    <col min="3" max="10" width="9.140625" style="51"/>
    <col min="11" max="11" width="6.85546875" style="51" customWidth="1"/>
    <col min="12" max="16384" width="9.140625" style="51"/>
  </cols>
  <sheetData>
    <row r="33" spans="2:7" ht="35.25" x14ac:dyDescent="0.5">
      <c r="B33" s="251" t="s">
        <v>460</v>
      </c>
      <c r="C33" s="252"/>
      <c r="D33" s="252"/>
    </row>
    <row r="34" spans="2:7" ht="34.5" x14ac:dyDescent="0.45">
      <c r="B34" s="252"/>
      <c r="C34" s="252"/>
      <c r="D34" s="252"/>
    </row>
    <row r="35" spans="2:7" ht="35.25" x14ac:dyDescent="0.5">
      <c r="B35" s="253">
        <v>44962</v>
      </c>
      <c r="C35" s="254"/>
      <c r="D35" s="255" t="s">
        <v>461</v>
      </c>
      <c r="G35" s="256" t="s">
        <v>439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6595B-3838-4029-BF10-4DADAF82EA3C}">
  <sheetPr>
    <tabColor theme="1"/>
    <outlinePr summaryBelow="0" summaryRight="0"/>
  </sheetPr>
  <dimension ref="A1:AN293"/>
  <sheetViews>
    <sheetView showGridLines="0" zoomScaleNormal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/>
    </sheetView>
  </sheetViews>
  <sheetFormatPr defaultColWidth="9.140625" defaultRowHeight="15" customHeight="1" outlineLevelCol="1" x14ac:dyDescent="0.2"/>
  <cols>
    <col min="1" max="1" width="53.140625" style="121" customWidth="1"/>
    <col min="2" max="2" width="8" style="121" customWidth="1" collapsed="1"/>
    <col min="3" max="6" width="8" style="121" hidden="1" customWidth="1" outlineLevel="1"/>
    <col min="7" max="7" width="9" style="148" customWidth="1" collapsed="1"/>
    <col min="8" max="8" width="11" style="121" hidden="1" customWidth="1" outlineLevel="1"/>
    <col min="9" max="9" width="10.7109375" style="121" hidden="1" customWidth="1" outlineLevel="1"/>
    <col min="10" max="11" width="11.85546875" style="121" hidden="1" customWidth="1" outlineLevel="1"/>
    <col min="12" max="12" width="9" style="148" customWidth="1"/>
    <col min="13" max="15" width="10.7109375" style="121" customWidth="1" outlineLevel="1"/>
    <col min="16" max="16" width="11.85546875" style="121" customWidth="1" outlineLevel="1"/>
    <col min="17" max="17" width="9" style="148" customWidth="1"/>
    <col min="18" max="20" width="10.7109375" style="121" customWidth="1" outlineLevel="1"/>
    <col min="21" max="21" width="11.85546875" style="121" customWidth="1" outlineLevel="1"/>
    <col min="22" max="22" width="9" style="148" customWidth="1"/>
    <col min="23" max="26" width="11.85546875" style="121" customWidth="1" outlineLevel="1"/>
    <col min="27" max="27" width="9" style="148" customWidth="1"/>
    <col min="28" max="31" width="11.85546875" style="121" customWidth="1" outlineLevel="1"/>
    <col min="32" max="32" width="9" style="148" customWidth="1"/>
    <col min="33" max="36" width="11.85546875" style="121" customWidth="1" outlineLevel="1"/>
    <col min="37" max="40" width="9" style="148" customWidth="1"/>
    <col min="41" max="16384" width="9.140625" style="121"/>
  </cols>
  <sheetData>
    <row r="1" spans="1:40" ht="15" customHeight="1" x14ac:dyDescent="0.2">
      <c r="A1" s="1" t="s">
        <v>5</v>
      </c>
    </row>
    <row r="2" spans="1:40" ht="15" customHeight="1" x14ac:dyDescent="0.2">
      <c r="A2" s="315">
        <f>TSM!C6</f>
        <v>103.84</v>
      </c>
    </row>
    <row r="3" spans="1:40" ht="15" customHeight="1" x14ac:dyDescent="0.2">
      <c r="A3" s="149"/>
      <c r="B3" s="149"/>
      <c r="C3" s="149"/>
      <c r="D3" s="149"/>
      <c r="E3" s="149"/>
      <c r="F3" s="149"/>
      <c r="G3" s="150"/>
      <c r="H3" s="149"/>
      <c r="I3" s="149"/>
      <c r="J3" s="149"/>
      <c r="K3" s="149"/>
      <c r="L3" s="150"/>
      <c r="M3" s="149"/>
      <c r="N3" s="149"/>
      <c r="O3" s="149"/>
      <c r="P3" s="149"/>
      <c r="Q3" s="150"/>
      <c r="R3" s="149"/>
      <c r="S3" s="149"/>
      <c r="T3" s="149"/>
      <c r="U3" s="149"/>
      <c r="V3" s="150"/>
      <c r="W3" s="149"/>
      <c r="X3" s="149"/>
      <c r="Y3" s="149"/>
      <c r="Z3" s="149"/>
      <c r="AA3" s="150"/>
      <c r="AB3" s="149"/>
      <c r="AC3" s="149"/>
      <c r="AD3" s="149"/>
      <c r="AE3" s="149"/>
      <c r="AF3" s="150"/>
      <c r="AG3" s="149"/>
      <c r="AH3" s="149"/>
      <c r="AI3" s="149"/>
      <c r="AJ3" s="149"/>
      <c r="AK3" s="150"/>
      <c r="AL3" s="150"/>
      <c r="AM3" s="150"/>
      <c r="AN3" s="150"/>
    </row>
    <row r="4" spans="1:40" ht="15" customHeight="1" x14ac:dyDescent="0.2">
      <c r="G4" s="152"/>
      <c r="H4" s="151"/>
      <c r="I4" s="151"/>
      <c r="J4" s="151"/>
      <c r="K4" s="151"/>
      <c r="L4" s="152"/>
      <c r="M4" s="151"/>
      <c r="N4" s="151"/>
      <c r="O4" s="151"/>
      <c r="P4" s="151"/>
      <c r="Q4" s="152"/>
      <c r="R4" s="151"/>
      <c r="S4" s="151"/>
      <c r="T4" s="151"/>
      <c r="U4" s="151"/>
      <c r="V4" s="152"/>
      <c r="W4" s="151"/>
      <c r="X4" s="151"/>
      <c r="Y4" s="151"/>
      <c r="Z4" s="151"/>
      <c r="AA4" s="152"/>
      <c r="AB4" s="151"/>
      <c r="AC4" s="151"/>
      <c r="AD4" s="151"/>
      <c r="AE4" s="151"/>
      <c r="AF4" s="152"/>
      <c r="AG4" s="151"/>
      <c r="AH4" s="151"/>
      <c r="AI4" s="151"/>
      <c r="AJ4" s="151"/>
      <c r="AK4" s="152"/>
      <c r="AL4" s="152"/>
      <c r="AM4" s="152"/>
      <c r="AN4" s="152"/>
    </row>
    <row r="5" spans="1:40" ht="15" customHeight="1" x14ac:dyDescent="0.2">
      <c r="X5" s="153"/>
      <c r="Y5" s="153"/>
      <c r="Z5" s="153"/>
      <c r="AB5" s="153"/>
      <c r="AC5" s="153"/>
      <c r="AD5" s="153"/>
      <c r="AE5" s="153"/>
      <c r="AG5" s="153"/>
      <c r="AH5" s="153"/>
      <c r="AI5" s="153"/>
    </row>
    <row r="6" spans="1:40" ht="15" customHeight="1" x14ac:dyDescent="0.2">
      <c r="A6" s="135" t="s">
        <v>0</v>
      </c>
      <c r="B6" s="135" t="s">
        <v>410</v>
      </c>
      <c r="C6" s="135"/>
      <c r="D6" s="135"/>
      <c r="E6" s="135"/>
      <c r="F6" s="135"/>
      <c r="G6" s="137"/>
      <c r="H6" s="135"/>
      <c r="I6" s="135"/>
      <c r="J6" s="135"/>
      <c r="K6" s="135"/>
      <c r="L6" s="137"/>
      <c r="M6" s="135"/>
      <c r="N6" s="135"/>
      <c r="O6" s="135"/>
      <c r="P6" s="135"/>
      <c r="Q6" s="137"/>
      <c r="R6" s="135"/>
      <c r="S6" s="135"/>
      <c r="T6" s="135"/>
      <c r="U6" s="135"/>
      <c r="V6" s="137"/>
      <c r="W6" s="135"/>
      <c r="X6" s="135"/>
      <c r="Y6" s="135"/>
      <c r="Z6" s="135"/>
      <c r="AA6" s="137"/>
      <c r="AB6" s="135"/>
      <c r="AC6" s="135"/>
      <c r="AD6" s="134"/>
      <c r="AE6" s="134"/>
      <c r="AF6" s="137"/>
      <c r="AG6" s="134"/>
      <c r="AH6" s="134"/>
      <c r="AI6" s="134"/>
      <c r="AJ6" s="134"/>
      <c r="AK6" s="137"/>
      <c r="AL6" s="137"/>
      <c r="AM6" s="137"/>
      <c r="AN6" s="137"/>
    </row>
    <row r="7" spans="1:40" ht="15" customHeight="1" x14ac:dyDescent="0.2">
      <c r="A7" s="135"/>
      <c r="B7" s="139"/>
      <c r="C7" s="139" t="s">
        <v>417</v>
      </c>
      <c r="D7" s="139" t="s">
        <v>416</v>
      </c>
      <c r="E7" s="139" t="s">
        <v>415</v>
      </c>
      <c r="F7" s="139" t="s">
        <v>414</v>
      </c>
      <c r="G7" s="141" t="s">
        <v>443</v>
      </c>
      <c r="H7" s="139" t="s">
        <v>320</v>
      </c>
      <c r="I7" s="139" t="s">
        <v>321</v>
      </c>
      <c r="J7" s="139" t="s">
        <v>322</v>
      </c>
      <c r="K7" s="139" t="s">
        <v>323</v>
      </c>
      <c r="L7" s="141" t="s">
        <v>393</v>
      </c>
      <c r="M7" s="139" t="s">
        <v>324</v>
      </c>
      <c r="N7" s="139" t="s">
        <v>325</v>
      </c>
      <c r="O7" s="139" t="s">
        <v>326</v>
      </c>
      <c r="P7" s="139" t="s">
        <v>327</v>
      </c>
      <c r="Q7" s="141" t="s">
        <v>396</v>
      </c>
      <c r="R7" s="139" t="s">
        <v>328</v>
      </c>
      <c r="S7" s="139" t="s">
        <v>329</v>
      </c>
      <c r="T7" s="139" t="s">
        <v>330</v>
      </c>
      <c r="U7" s="139" t="s">
        <v>331</v>
      </c>
      <c r="V7" s="141" t="s">
        <v>395</v>
      </c>
      <c r="W7" s="139" t="s">
        <v>332</v>
      </c>
      <c r="X7" s="33" t="s">
        <v>333</v>
      </c>
      <c r="Y7" s="33" t="s">
        <v>334</v>
      </c>
      <c r="Z7" s="33" t="s">
        <v>335</v>
      </c>
      <c r="AA7" s="141" t="s">
        <v>397</v>
      </c>
      <c r="AB7" s="33" t="s">
        <v>336</v>
      </c>
      <c r="AC7" s="33" t="s">
        <v>337</v>
      </c>
      <c r="AD7" s="33" t="s">
        <v>338</v>
      </c>
      <c r="AE7" s="33" t="s">
        <v>339</v>
      </c>
      <c r="AF7" s="141" t="s">
        <v>398</v>
      </c>
      <c r="AG7" s="33" t="s">
        <v>340</v>
      </c>
      <c r="AH7" s="33" t="s">
        <v>341</v>
      </c>
      <c r="AI7" s="33" t="s">
        <v>342</v>
      </c>
      <c r="AJ7" s="33" t="s">
        <v>343</v>
      </c>
      <c r="AK7" s="141" t="s">
        <v>399</v>
      </c>
      <c r="AL7" s="141" t="s">
        <v>412</v>
      </c>
      <c r="AM7" s="141" t="s">
        <v>413</v>
      </c>
      <c r="AN7" s="141" t="s">
        <v>445</v>
      </c>
    </row>
    <row r="8" spans="1:40" ht="15" customHeight="1" x14ac:dyDescent="0.2">
      <c r="A8" s="135"/>
      <c r="B8" s="139"/>
      <c r="C8" s="140">
        <v>43465</v>
      </c>
      <c r="D8" s="140">
        <v>43555</v>
      </c>
      <c r="E8" s="140">
        <v>43646</v>
      </c>
      <c r="F8" s="140">
        <v>43738</v>
      </c>
      <c r="G8" s="142"/>
      <c r="H8" s="140">
        <v>43830</v>
      </c>
      <c r="I8" s="140">
        <v>43921</v>
      </c>
      <c r="J8" s="140">
        <v>44012</v>
      </c>
      <c r="K8" s="140">
        <v>44104</v>
      </c>
      <c r="L8" s="142"/>
      <c r="M8" s="140">
        <v>44196</v>
      </c>
      <c r="N8" s="140">
        <v>44286</v>
      </c>
      <c r="O8" s="140">
        <v>44377</v>
      </c>
      <c r="P8" s="140">
        <v>44469</v>
      </c>
      <c r="Q8" s="142"/>
      <c r="R8" s="140">
        <v>44561</v>
      </c>
      <c r="S8" s="140">
        <v>44651</v>
      </c>
      <c r="T8" s="140">
        <v>44742</v>
      </c>
      <c r="U8" s="140">
        <v>44834</v>
      </c>
      <c r="V8" s="142"/>
      <c r="W8" s="140">
        <v>44926</v>
      </c>
      <c r="X8" s="136">
        <v>45016</v>
      </c>
      <c r="Y8" s="136">
        <v>45107</v>
      </c>
      <c r="Z8" s="136">
        <v>45199</v>
      </c>
      <c r="AA8" s="142"/>
      <c r="AB8" s="136">
        <v>45291</v>
      </c>
      <c r="AC8" s="136">
        <v>45382</v>
      </c>
      <c r="AD8" s="136">
        <v>45473</v>
      </c>
      <c r="AE8" s="136">
        <v>45565</v>
      </c>
      <c r="AF8" s="142"/>
      <c r="AG8" s="136">
        <v>45657</v>
      </c>
      <c r="AH8" s="136">
        <v>45747</v>
      </c>
      <c r="AI8" s="136">
        <v>45838</v>
      </c>
      <c r="AJ8" s="136">
        <v>45930</v>
      </c>
      <c r="AK8" s="142"/>
      <c r="AL8" s="142"/>
      <c r="AM8" s="142"/>
      <c r="AN8" s="142"/>
    </row>
    <row r="9" spans="1:40" ht="15" customHeight="1" x14ac:dyDescent="0.2">
      <c r="A9" s="135"/>
      <c r="B9" s="139"/>
      <c r="C9" s="139"/>
      <c r="D9" s="139"/>
      <c r="E9" s="139"/>
      <c r="F9" s="139"/>
      <c r="G9" s="141"/>
      <c r="H9" s="139"/>
      <c r="I9" s="139"/>
      <c r="J9" s="139"/>
      <c r="K9" s="139"/>
      <c r="L9" s="141"/>
      <c r="M9" s="139"/>
      <c r="N9" s="139"/>
      <c r="O9" s="139"/>
      <c r="P9" s="139"/>
      <c r="Q9" s="141"/>
      <c r="R9" s="139"/>
      <c r="S9" s="139"/>
      <c r="T9" s="139"/>
      <c r="U9" s="139"/>
      <c r="V9" s="141"/>
      <c r="W9" s="139"/>
      <c r="X9" s="138" t="s">
        <v>411</v>
      </c>
      <c r="Y9" s="138" t="s">
        <v>411</v>
      </c>
      <c r="Z9" s="138" t="s">
        <v>411</v>
      </c>
      <c r="AA9" s="141" t="s">
        <v>411</v>
      </c>
      <c r="AB9" s="138" t="s">
        <v>411</v>
      </c>
      <c r="AC9" s="138" t="s">
        <v>411</v>
      </c>
      <c r="AD9" s="138" t="s">
        <v>411</v>
      </c>
      <c r="AE9" s="138" t="s">
        <v>411</v>
      </c>
      <c r="AF9" s="141" t="s">
        <v>411</v>
      </c>
      <c r="AG9" s="138" t="s">
        <v>411</v>
      </c>
      <c r="AH9" s="138" t="s">
        <v>411</v>
      </c>
      <c r="AI9" s="138" t="s">
        <v>411</v>
      </c>
      <c r="AJ9" s="138" t="s">
        <v>411</v>
      </c>
      <c r="AK9" s="141" t="s">
        <v>411</v>
      </c>
      <c r="AL9" s="141" t="s">
        <v>411</v>
      </c>
      <c r="AM9" s="141" t="s">
        <v>411</v>
      </c>
      <c r="AN9" s="141" t="s">
        <v>411</v>
      </c>
    </row>
    <row r="10" spans="1:40" ht="15" customHeight="1" x14ac:dyDescent="0.2">
      <c r="G10" s="154"/>
      <c r="L10" s="154"/>
      <c r="Q10" s="154"/>
      <c r="V10" s="154"/>
      <c r="AA10" s="154"/>
      <c r="AF10" s="154"/>
      <c r="AK10" s="154"/>
      <c r="AL10" s="154"/>
      <c r="AM10" s="154"/>
      <c r="AN10" s="154"/>
    </row>
    <row r="11" spans="1:40" ht="15" customHeight="1" x14ac:dyDescent="0.2">
      <c r="A11" s="119" t="s">
        <v>408</v>
      </c>
      <c r="B11" s="119"/>
      <c r="C11" s="119"/>
      <c r="D11" s="119"/>
      <c r="E11" s="119"/>
      <c r="F11" s="119"/>
      <c r="G11" s="123"/>
      <c r="H11" s="119"/>
      <c r="I11" s="119"/>
      <c r="J11" s="119"/>
      <c r="K11" s="119"/>
      <c r="L11" s="123"/>
      <c r="M11" s="119"/>
      <c r="N11" s="119"/>
      <c r="O11" s="119"/>
      <c r="P11" s="119"/>
      <c r="Q11" s="123"/>
      <c r="R11" s="119"/>
      <c r="S11" s="119"/>
      <c r="T11" s="119"/>
      <c r="U11" s="119"/>
      <c r="V11" s="123"/>
      <c r="W11" s="119"/>
      <c r="X11" s="119"/>
      <c r="Y11" s="119"/>
      <c r="Z11" s="119"/>
      <c r="AA11" s="123"/>
      <c r="AB11" s="119"/>
      <c r="AC11" s="119"/>
      <c r="AD11" s="119"/>
      <c r="AE11" s="119"/>
      <c r="AF11" s="123"/>
      <c r="AG11" s="119"/>
      <c r="AH11" s="119"/>
      <c r="AI11" s="119"/>
      <c r="AJ11" s="119"/>
      <c r="AK11" s="123"/>
      <c r="AL11" s="123"/>
      <c r="AM11" s="123"/>
      <c r="AN11" s="123"/>
    </row>
    <row r="12" spans="1:40" ht="15" customHeight="1" x14ac:dyDescent="0.2">
      <c r="A12" s="3" t="s">
        <v>400</v>
      </c>
      <c r="B12" s="3"/>
      <c r="C12" s="3"/>
      <c r="D12" s="3"/>
      <c r="E12" s="3"/>
      <c r="F12" s="3"/>
      <c r="G12" s="115"/>
      <c r="H12" s="3"/>
      <c r="I12" s="3"/>
      <c r="J12" s="3"/>
      <c r="K12" s="3"/>
      <c r="L12" s="115"/>
      <c r="M12" s="3"/>
      <c r="N12" s="3"/>
      <c r="O12" s="3"/>
      <c r="P12" s="3"/>
      <c r="Q12" s="115"/>
      <c r="R12" s="3"/>
      <c r="S12" s="3"/>
      <c r="T12" s="3"/>
      <c r="U12" s="3"/>
      <c r="V12" s="115"/>
      <c r="W12" s="3"/>
      <c r="X12" s="3"/>
      <c r="Y12" s="3"/>
      <c r="Z12" s="3"/>
      <c r="AA12" s="115"/>
      <c r="AB12" s="3"/>
      <c r="AC12" s="3"/>
      <c r="AD12" s="3"/>
      <c r="AE12" s="3"/>
      <c r="AF12" s="115"/>
      <c r="AG12" s="3"/>
      <c r="AH12" s="3"/>
      <c r="AI12" s="3"/>
      <c r="AJ12" s="3"/>
      <c r="AK12" s="115"/>
      <c r="AL12" s="115"/>
      <c r="AM12" s="115"/>
      <c r="AN12" s="115"/>
    </row>
    <row r="13" spans="1:40" ht="15" customHeight="1" x14ac:dyDescent="0.2">
      <c r="A13" s="4" t="s">
        <v>13</v>
      </c>
      <c r="B13" s="4"/>
      <c r="C13" s="4"/>
      <c r="D13" s="4"/>
      <c r="E13" s="4"/>
      <c r="F13" s="4"/>
      <c r="G13" s="116"/>
      <c r="H13" s="4"/>
      <c r="I13" s="4"/>
      <c r="J13" s="4"/>
      <c r="K13" s="4"/>
      <c r="L13" s="116"/>
      <c r="M13" s="4"/>
      <c r="N13" s="4"/>
      <c r="O13" s="4"/>
      <c r="P13" s="4"/>
      <c r="Q13" s="116"/>
      <c r="R13" s="4"/>
      <c r="S13" s="4"/>
      <c r="T13" s="4"/>
      <c r="U13" s="4"/>
      <c r="V13" s="116"/>
      <c r="W13" s="4"/>
      <c r="X13" s="4"/>
      <c r="Y13" s="4"/>
      <c r="Z13" s="4"/>
      <c r="AA13" s="116"/>
      <c r="AB13" s="4"/>
      <c r="AC13" s="4"/>
      <c r="AD13" s="4"/>
      <c r="AE13" s="4"/>
      <c r="AF13" s="116"/>
      <c r="AG13" s="4"/>
      <c r="AH13" s="4"/>
      <c r="AI13" s="4"/>
      <c r="AJ13" s="4"/>
      <c r="AK13" s="116"/>
      <c r="AL13" s="116"/>
      <c r="AM13" s="116"/>
      <c r="AN13" s="116"/>
    </row>
    <row r="14" spans="1:40" ht="15" customHeight="1" x14ac:dyDescent="0.2">
      <c r="A14" s="121" t="s">
        <v>14</v>
      </c>
      <c r="C14" s="121">
        <f>'Boeing Historical Deliveries'!R54</f>
        <v>101</v>
      </c>
      <c r="D14" s="121">
        <f>'Boeing Historical Deliveries'!V54</f>
        <v>28</v>
      </c>
      <c r="E14" s="121">
        <f>'Boeing Historical Deliveries'!Y54</f>
        <v>1</v>
      </c>
      <c r="F14" s="121">
        <f>'Boeing Historical Deliveries'!AB54</f>
        <v>17</v>
      </c>
      <c r="G14" s="156">
        <f>SUM(C14:F14)</f>
        <v>147</v>
      </c>
      <c r="H14" s="155">
        <f>'Boeing Historical Deliveries'!AE54</f>
        <v>23</v>
      </c>
      <c r="I14" s="155">
        <f>'Boeing Historical Deliveries'!AI54</f>
        <v>11</v>
      </c>
      <c r="J14" s="155">
        <f>'Boeing Historical Deliveries'!AL54</f>
        <v>3</v>
      </c>
      <c r="K14" s="155">
        <f>'Boeing Historical Deliveries'!AO54</f>
        <v>2</v>
      </c>
      <c r="L14" s="156">
        <f>SUM(H14:K14)</f>
        <v>39</v>
      </c>
      <c r="M14" s="155">
        <f>'Boeing Historical Deliveries'!AR54</f>
        <v>0</v>
      </c>
      <c r="N14" s="155">
        <f>'Boeing Historical Deliveries'!AV54</f>
        <v>16</v>
      </c>
      <c r="O14" s="155">
        <f>'Boeing Historical Deliveries'!AY54</f>
        <v>0</v>
      </c>
      <c r="P14" s="155">
        <f>'Boeing Historical Deliveries'!BB54</f>
        <v>0</v>
      </c>
      <c r="Q14" s="156">
        <f>SUM(M14:P14)</f>
        <v>16</v>
      </c>
      <c r="R14" s="155">
        <f>'Boeing Historical Deliveries'!BE54</f>
        <v>0</v>
      </c>
      <c r="S14" s="155">
        <f>'Boeing Historical Deliveries'!BI54</f>
        <v>12</v>
      </c>
      <c r="T14" s="155">
        <f>'Boeing Historical Deliveries'!BL54</f>
        <v>0</v>
      </c>
      <c r="U14" s="155">
        <f>'Boeing Historical Deliveries'!BO54</f>
        <v>0</v>
      </c>
      <c r="V14" s="156">
        <f>SUM(R14:U14)</f>
        <v>12</v>
      </c>
      <c r="W14" s="155">
        <f>'Boeing Historical Deliveries'!BR54</f>
        <v>0</v>
      </c>
      <c r="X14" s="208">
        <v>3</v>
      </c>
      <c r="Y14" s="208">
        <v>3</v>
      </c>
      <c r="Z14" s="208">
        <v>3</v>
      </c>
      <c r="AA14" s="156">
        <f>SUM(W14:Z14)</f>
        <v>9</v>
      </c>
      <c r="AB14" s="208">
        <f>Z14</f>
        <v>3</v>
      </c>
      <c r="AC14" s="208">
        <v>3</v>
      </c>
      <c r="AD14" s="208">
        <v>3</v>
      </c>
      <c r="AE14" s="208">
        <v>1.5</v>
      </c>
      <c r="AF14" s="156">
        <f>SUM(AB14:AE14)</f>
        <v>10.5</v>
      </c>
      <c r="AG14" s="208">
        <f>AE14</f>
        <v>1.5</v>
      </c>
      <c r="AH14" s="208">
        <f t="shared" ref="AH14:AJ14" si="0">AG14</f>
        <v>1.5</v>
      </c>
      <c r="AI14" s="208">
        <f t="shared" si="0"/>
        <v>1.5</v>
      </c>
      <c r="AJ14" s="208">
        <f t="shared" si="0"/>
        <v>1.5</v>
      </c>
      <c r="AK14" s="156">
        <f>SUM(AG14:AJ14)</f>
        <v>6</v>
      </c>
      <c r="AL14" s="156"/>
      <c r="AM14" s="156"/>
      <c r="AN14" s="156"/>
    </row>
    <row r="15" spans="1:40" ht="15" customHeight="1" x14ac:dyDescent="0.2">
      <c r="A15" s="121" t="s">
        <v>15</v>
      </c>
      <c r="C15" s="121">
        <f>'Boeing Historical Deliveries'!R55</f>
        <v>98</v>
      </c>
      <c r="D15" s="121">
        <f>'Boeing Historical Deliveries'!V55</f>
        <v>11</v>
      </c>
      <c r="E15" s="121">
        <f>'Boeing Historical Deliveries'!Y55</f>
        <v>10</v>
      </c>
      <c r="F15" s="121">
        <f>'Boeing Historical Deliveries'!AB55</f>
        <v>15</v>
      </c>
      <c r="G15" s="156">
        <f t="shared" ref="G15:G20" si="1">SUM(C15:F15)</f>
        <v>134</v>
      </c>
      <c r="H15" s="155">
        <f>'Boeing Historical Deliveries'!AE55</f>
        <v>21</v>
      </c>
      <c r="I15" s="155">
        <f>'Boeing Historical Deliveries'!AI55</f>
        <v>10</v>
      </c>
      <c r="J15" s="155">
        <f>'Boeing Historical Deliveries'!AL55</f>
        <v>5</v>
      </c>
      <c r="K15" s="155">
        <f>'Boeing Historical Deliveries'!AO55</f>
        <v>5</v>
      </c>
      <c r="L15" s="156">
        <f t="shared" ref="L15:L20" si="2">SUM(H15:K15)</f>
        <v>41</v>
      </c>
      <c r="M15" s="155">
        <f>'Boeing Historical Deliveries'!AR55</f>
        <v>7</v>
      </c>
      <c r="N15" s="155">
        <f>'Boeing Historical Deliveries'!AV55</f>
        <v>54</v>
      </c>
      <c r="O15" s="155">
        <f>'Boeing Historical Deliveries'!AY55</f>
        <v>46</v>
      </c>
      <c r="P15" s="155">
        <f>'Boeing Historical Deliveries'!BB55</f>
        <v>41</v>
      </c>
      <c r="Q15" s="156">
        <f t="shared" ref="Q15:Q20" si="3">SUM(M15:P15)</f>
        <v>148</v>
      </c>
      <c r="R15" s="155">
        <f>'Boeing Historical Deliveries'!BE55</f>
        <v>104</v>
      </c>
      <c r="S15" s="155">
        <f>'Boeing Historical Deliveries'!BI55</f>
        <v>99</v>
      </c>
      <c r="T15" s="155">
        <f>'Boeing Historical Deliveries'!BL55</f>
        <v>88</v>
      </c>
      <c r="U15" s="155">
        <f>'Boeing Historical Deliveries'!BO55</f>
        <v>79</v>
      </c>
      <c r="V15" s="156">
        <f t="shared" ref="V15:V20" si="4">SUM(R15:U15)</f>
        <v>370</v>
      </c>
      <c r="W15" s="155">
        <f>'Boeing Historical Deliveries'!BR55</f>
        <v>108</v>
      </c>
      <c r="X15" s="208">
        <v>69</v>
      </c>
      <c r="Y15" s="208">
        <v>69</v>
      </c>
      <c r="Z15" s="208">
        <v>81</v>
      </c>
      <c r="AA15" s="156">
        <f t="shared" ref="AA15:AA20" si="5">SUM(W15:Z15)</f>
        <v>327</v>
      </c>
      <c r="AB15" s="208">
        <f>Z15</f>
        <v>81</v>
      </c>
      <c r="AC15" s="208">
        <v>90</v>
      </c>
      <c r="AD15" s="208">
        <v>102</v>
      </c>
      <c r="AE15" s="208">
        <v>112.5</v>
      </c>
      <c r="AF15" s="156">
        <f t="shared" ref="AF15:AF20" si="6">SUM(AB15:AE15)</f>
        <v>385.5</v>
      </c>
      <c r="AG15" s="208">
        <f>AE15</f>
        <v>112.5</v>
      </c>
      <c r="AH15" s="208">
        <v>112.5</v>
      </c>
      <c r="AI15" s="208">
        <v>124.5</v>
      </c>
      <c r="AJ15" s="208">
        <v>139.5</v>
      </c>
      <c r="AK15" s="156">
        <f t="shared" ref="AK15:AK20" si="7">SUM(AG15:AJ15)</f>
        <v>489</v>
      </c>
      <c r="AL15" s="156">
        <v>594</v>
      </c>
      <c r="AM15" s="156">
        <f t="shared" ref="AL15:AM20" si="8">AL15</f>
        <v>594</v>
      </c>
      <c r="AN15" s="156">
        <f t="shared" ref="AN15" si="9">AM15</f>
        <v>594</v>
      </c>
    </row>
    <row r="16" spans="1:40" ht="15" customHeight="1" x14ac:dyDescent="0.2">
      <c r="A16" s="121" t="s">
        <v>16</v>
      </c>
      <c r="C16" s="121">
        <f>'Boeing Historical Deliveries'!R56</f>
        <v>4</v>
      </c>
      <c r="D16" s="121">
        <f>'Boeing Historical Deliveries'!V56</f>
        <v>11</v>
      </c>
      <c r="E16" s="121">
        <f>'Boeing Historical Deliveries'!Y56</f>
        <v>5</v>
      </c>
      <c r="F16" s="121">
        <f>'Boeing Historical Deliveries'!AB56</f>
        <v>27</v>
      </c>
      <c r="G16" s="156">
        <f t="shared" si="1"/>
        <v>47</v>
      </c>
      <c r="H16" s="155">
        <f>'Boeing Historical Deliveries'!AE56</f>
        <v>0</v>
      </c>
      <c r="I16" s="155">
        <f>'Boeing Historical Deliveries'!AI56</f>
        <v>5</v>
      </c>
      <c r="J16" s="155">
        <f>'Boeing Historical Deliveries'!AL56</f>
        <v>8</v>
      </c>
      <c r="K16" s="155">
        <f>'Boeing Historical Deliveries'!AO56</f>
        <v>17</v>
      </c>
      <c r="L16" s="156">
        <f t="shared" si="2"/>
        <v>30</v>
      </c>
      <c r="M16" s="155">
        <f>'Boeing Historical Deliveries'!AR56</f>
        <v>0</v>
      </c>
      <c r="N16" s="155">
        <f>'Boeing Historical Deliveries'!AV56</f>
        <v>3</v>
      </c>
      <c r="O16" s="155">
        <f>'Boeing Historical Deliveries'!AY56</f>
        <v>7</v>
      </c>
      <c r="P16" s="155">
        <f>'Boeing Historical Deliveries'!BB56</f>
        <v>20</v>
      </c>
      <c r="Q16" s="156">
        <f t="shared" si="3"/>
        <v>30</v>
      </c>
      <c r="R16" s="155">
        <f>'Boeing Historical Deliveries'!BE56</f>
        <v>2</v>
      </c>
      <c r="S16" s="155">
        <f>'Boeing Historical Deliveries'!BI56</f>
        <v>9</v>
      </c>
      <c r="T16" s="155">
        <f>'Boeing Historical Deliveries'!BL56</f>
        <v>8</v>
      </c>
      <c r="U16" s="155">
        <f>'Boeing Historical Deliveries'!BO56</f>
        <v>16</v>
      </c>
      <c r="V16" s="156">
        <f t="shared" si="4"/>
        <v>35</v>
      </c>
      <c r="W16" s="155">
        <f>'Boeing Historical Deliveries'!BR56</f>
        <v>0</v>
      </c>
      <c r="X16" s="208">
        <f>S16</f>
        <v>9</v>
      </c>
      <c r="Y16" s="208">
        <f>X16</f>
        <v>9</v>
      </c>
      <c r="Z16" s="208">
        <f>Y16</f>
        <v>9</v>
      </c>
      <c r="AA16" s="156">
        <f t="shared" si="5"/>
        <v>27</v>
      </c>
      <c r="AB16" s="208">
        <f>Z16</f>
        <v>9</v>
      </c>
      <c r="AC16" s="208">
        <f t="shared" ref="AC16:AJ16" si="10">AB16</f>
        <v>9</v>
      </c>
      <c r="AD16" s="208">
        <f t="shared" si="10"/>
        <v>9</v>
      </c>
      <c r="AE16" s="208">
        <f t="shared" si="10"/>
        <v>9</v>
      </c>
      <c r="AF16" s="156">
        <f t="shared" si="6"/>
        <v>36</v>
      </c>
      <c r="AG16" s="208">
        <f>AE16</f>
        <v>9</v>
      </c>
      <c r="AH16" s="208">
        <f t="shared" si="10"/>
        <v>9</v>
      </c>
      <c r="AI16" s="208">
        <f t="shared" si="10"/>
        <v>9</v>
      </c>
      <c r="AJ16" s="208">
        <f t="shared" si="10"/>
        <v>9</v>
      </c>
      <c r="AK16" s="156">
        <f t="shared" si="7"/>
        <v>36</v>
      </c>
      <c r="AL16" s="156">
        <f t="shared" si="8"/>
        <v>36</v>
      </c>
      <c r="AM16" s="156">
        <f t="shared" si="8"/>
        <v>36</v>
      </c>
      <c r="AN16" s="156">
        <f t="shared" ref="AN16" si="11">AM16</f>
        <v>36</v>
      </c>
    </row>
    <row r="17" spans="1:40" ht="15" customHeight="1" x14ac:dyDescent="0.2">
      <c r="A17" s="157" t="s">
        <v>17</v>
      </c>
      <c r="C17" s="121">
        <f>'Boeing Historical Deliveries'!R57</f>
        <v>6</v>
      </c>
      <c r="D17" s="121">
        <f>'Boeing Historical Deliveries'!V57</f>
        <v>1</v>
      </c>
      <c r="E17" s="121">
        <f>'Boeing Historical Deliveries'!Y57</f>
        <v>0</v>
      </c>
      <c r="F17" s="121">
        <f>'Boeing Historical Deliveries'!AB57</f>
        <v>0</v>
      </c>
      <c r="G17" s="156">
        <f t="shared" si="1"/>
        <v>7</v>
      </c>
      <c r="H17" s="155">
        <f>'Boeing Historical Deliveries'!AE57</f>
        <v>6</v>
      </c>
      <c r="I17" s="155">
        <f>'Boeing Historical Deliveries'!AI57</f>
        <v>4</v>
      </c>
      <c r="J17" s="155">
        <f>'Boeing Historical Deliveries'!AL57</f>
        <v>1</v>
      </c>
      <c r="K17" s="155">
        <f>'Boeing Historical Deliveries'!AO57</f>
        <v>0</v>
      </c>
      <c r="L17" s="156">
        <f t="shared" si="2"/>
        <v>11</v>
      </c>
      <c r="M17" s="155">
        <f>'Boeing Historical Deliveries'!AR57</f>
        <v>0</v>
      </c>
      <c r="N17" s="155">
        <f>'Boeing Historical Deliveries'!AV57</f>
        <v>7</v>
      </c>
      <c r="O17" s="155">
        <f>'Boeing Historical Deliveries'!AY57</f>
        <v>0</v>
      </c>
      <c r="P17" s="155">
        <f>'Boeing Historical Deliveries'!BB57</f>
        <v>0</v>
      </c>
      <c r="Q17" s="156">
        <f t="shared" si="3"/>
        <v>7</v>
      </c>
      <c r="R17" s="155">
        <f>'Boeing Historical Deliveries'!BE57</f>
        <v>0</v>
      </c>
      <c r="S17" s="155">
        <f>'Boeing Historical Deliveries'!BI57</f>
        <v>5</v>
      </c>
      <c r="T17" s="155">
        <f>'Boeing Historical Deliveries'!BL57</f>
        <v>0</v>
      </c>
      <c r="U17" s="155">
        <f>'Boeing Historical Deliveries'!BO57</f>
        <v>0</v>
      </c>
      <c r="V17" s="156">
        <f t="shared" si="4"/>
        <v>5</v>
      </c>
      <c r="W17" s="155">
        <f>'Boeing Historical Deliveries'!BR57</f>
        <v>0</v>
      </c>
      <c r="X17" s="208">
        <v>0</v>
      </c>
      <c r="Y17" s="208">
        <v>0</v>
      </c>
      <c r="Z17" s="208">
        <v>0</v>
      </c>
      <c r="AA17" s="156">
        <f t="shared" si="5"/>
        <v>0</v>
      </c>
      <c r="AB17" s="208">
        <f>Z17</f>
        <v>0</v>
      </c>
      <c r="AC17" s="208">
        <f t="shared" ref="AC17:AJ17" si="12">AB17</f>
        <v>0</v>
      </c>
      <c r="AD17" s="208">
        <f t="shared" si="12"/>
        <v>0</v>
      </c>
      <c r="AE17" s="208">
        <f t="shared" si="12"/>
        <v>0</v>
      </c>
      <c r="AF17" s="156">
        <f t="shared" si="6"/>
        <v>0</v>
      </c>
      <c r="AG17" s="208">
        <f>AE17</f>
        <v>0</v>
      </c>
      <c r="AH17" s="208">
        <f t="shared" si="12"/>
        <v>0</v>
      </c>
      <c r="AI17" s="208">
        <f t="shared" si="12"/>
        <v>0</v>
      </c>
      <c r="AJ17" s="208">
        <f t="shared" si="12"/>
        <v>0</v>
      </c>
      <c r="AK17" s="156">
        <f t="shared" si="7"/>
        <v>0</v>
      </c>
      <c r="AL17" s="156">
        <f t="shared" si="8"/>
        <v>0</v>
      </c>
      <c r="AM17" s="156">
        <f t="shared" si="8"/>
        <v>0</v>
      </c>
      <c r="AN17" s="156">
        <f t="shared" ref="AN17" si="13">AM17</f>
        <v>0</v>
      </c>
    </row>
    <row r="18" spans="1:40" ht="15" customHeight="1" x14ac:dyDescent="0.2">
      <c r="A18" s="157" t="s">
        <v>18</v>
      </c>
      <c r="C18" s="121">
        <f>'Boeing Historical Deliveries'!R58</f>
        <v>22</v>
      </c>
      <c r="D18" s="121">
        <f>'Boeing Historical Deliveries'!V58</f>
        <v>0</v>
      </c>
      <c r="E18" s="121">
        <f>'Boeing Historical Deliveries'!Y58</f>
        <v>2</v>
      </c>
      <c r="F18" s="121">
        <f>'Boeing Historical Deliveries'!AB58</f>
        <v>8</v>
      </c>
      <c r="G18" s="156">
        <f t="shared" si="1"/>
        <v>32</v>
      </c>
      <c r="H18" s="155">
        <f>'Boeing Historical Deliveries'!AE58</f>
        <v>10</v>
      </c>
      <c r="I18" s="155">
        <f>'Boeing Historical Deliveries'!AI58</f>
        <v>0</v>
      </c>
      <c r="J18" s="155">
        <f>'Boeing Historical Deliveries'!AL58</f>
        <v>0</v>
      </c>
      <c r="K18" s="155">
        <f>'Boeing Historical Deliveries'!AO58</f>
        <v>0</v>
      </c>
      <c r="L18" s="156">
        <f t="shared" si="2"/>
        <v>10</v>
      </c>
      <c r="M18" s="155">
        <f>'Boeing Historical Deliveries'!AR58</f>
        <v>4</v>
      </c>
      <c r="N18" s="155">
        <f>'Boeing Historical Deliveries'!AV58</f>
        <v>0</v>
      </c>
      <c r="O18" s="155">
        <f>'Boeing Historical Deliveries'!AY58</f>
        <v>0</v>
      </c>
      <c r="P18" s="155">
        <f>'Boeing Historical Deliveries'!BB58</f>
        <v>6</v>
      </c>
      <c r="Q18" s="156">
        <f t="shared" si="3"/>
        <v>10</v>
      </c>
      <c r="R18" s="155">
        <f>'Boeing Historical Deliveries'!BE58</f>
        <v>2</v>
      </c>
      <c r="S18" s="155">
        <f>'Boeing Historical Deliveries'!BI58</f>
        <v>0</v>
      </c>
      <c r="T18" s="155">
        <f>'Boeing Historical Deliveries'!BL58</f>
        <v>0</v>
      </c>
      <c r="U18" s="155">
        <f>'Boeing Historical Deliveries'!BO58</f>
        <v>0</v>
      </c>
      <c r="V18" s="156">
        <f t="shared" si="4"/>
        <v>2</v>
      </c>
      <c r="W18" s="155">
        <f>'Boeing Historical Deliveries'!BR58</f>
        <v>3</v>
      </c>
      <c r="X18" s="208">
        <v>9</v>
      </c>
      <c r="Y18" s="208">
        <v>9</v>
      </c>
      <c r="Z18" s="208">
        <v>9</v>
      </c>
      <c r="AA18" s="156">
        <f t="shared" si="5"/>
        <v>30</v>
      </c>
      <c r="AB18" s="208">
        <f>Z18</f>
        <v>9</v>
      </c>
      <c r="AC18" s="208">
        <f t="shared" ref="AC18:AJ18" si="14">AB18</f>
        <v>9</v>
      </c>
      <c r="AD18" s="208">
        <f t="shared" si="14"/>
        <v>9</v>
      </c>
      <c r="AE18" s="208">
        <f t="shared" si="14"/>
        <v>9</v>
      </c>
      <c r="AF18" s="156">
        <f t="shared" si="6"/>
        <v>36</v>
      </c>
      <c r="AG18" s="208">
        <f>AE18</f>
        <v>9</v>
      </c>
      <c r="AH18" s="208">
        <f t="shared" si="14"/>
        <v>9</v>
      </c>
      <c r="AI18" s="208">
        <f t="shared" si="14"/>
        <v>9</v>
      </c>
      <c r="AJ18" s="208">
        <f t="shared" si="14"/>
        <v>9</v>
      </c>
      <c r="AK18" s="156">
        <f t="shared" si="7"/>
        <v>36</v>
      </c>
      <c r="AL18" s="156">
        <f t="shared" si="8"/>
        <v>36</v>
      </c>
      <c r="AM18" s="156">
        <f t="shared" si="8"/>
        <v>36</v>
      </c>
      <c r="AN18" s="156">
        <f t="shared" ref="AN18" si="15">AM18</f>
        <v>36</v>
      </c>
    </row>
    <row r="19" spans="1:40" ht="15" customHeight="1" x14ac:dyDescent="0.2">
      <c r="A19" s="121" t="s">
        <v>12</v>
      </c>
      <c r="C19" s="121">
        <f>'Boeing Historical Deliveries'!R59</f>
        <v>7</v>
      </c>
      <c r="D19" s="121">
        <f>'Boeing Historical Deliveries'!V59</f>
        <v>7</v>
      </c>
      <c r="E19" s="121">
        <f>'Boeing Historical Deliveries'!Y59</f>
        <v>7</v>
      </c>
      <c r="F19" s="121">
        <f>'Boeing Historical Deliveries'!AB59</f>
        <v>7</v>
      </c>
      <c r="G19" s="156">
        <f t="shared" si="1"/>
        <v>28</v>
      </c>
      <c r="H19" s="155">
        <f>'Boeing Historical Deliveries'!AE59</f>
        <v>4</v>
      </c>
      <c r="I19" s="155">
        <f>'Boeing Historical Deliveries'!AI59</f>
        <v>0</v>
      </c>
      <c r="J19" s="155">
        <f>'Boeing Historical Deliveries'!AL59</f>
        <v>10</v>
      </c>
      <c r="K19" s="155">
        <f>'Boeing Historical Deliveries'!AO59</f>
        <v>5</v>
      </c>
      <c r="L19" s="156">
        <f t="shared" si="2"/>
        <v>19</v>
      </c>
      <c r="M19" s="155">
        <f>'Boeing Historical Deliveries'!AR59</f>
        <v>7</v>
      </c>
      <c r="N19" s="155">
        <f>'Boeing Historical Deliveries'!AV59</f>
        <v>2</v>
      </c>
      <c r="O19" s="155">
        <f>'Boeing Historical Deliveries'!AY59</f>
        <v>8</v>
      </c>
      <c r="P19" s="155">
        <f>'Boeing Historical Deliveries'!BB59</f>
        <v>6</v>
      </c>
      <c r="Q19" s="156">
        <f t="shared" si="3"/>
        <v>23</v>
      </c>
      <c r="R19" s="155">
        <f>'Boeing Historical Deliveries'!BE59</f>
        <v>0</v>
      </c>
      <c r="S19" s="155">
        <f>'Boeing Historical Deliveries'!BI59</f>
        <v>0</v>
      </c>
      <c r="T19" s="155">
        <f>'Boeing Historical Deliveries'!BL59</f>
        <v>8</v>
      </c>
      <c r="U19" s="155">
        <f>'Boeing Historical Deliveries'!BO59</f>
        <v>8</v>
      </c>
      <c r="V19" s="156">
        <f t="shared" si="4"/>
        <v>16</v>
      </c>
      <c r="W19" s="155">
        <f>'Boeing Historical Deliveries'!BR59</f>
        <v>5</v>
      </c>
      <c r="X19" s="208">
        <v>0</v>
      </c>
      <c r="Y19" s="208">
        <v>0</v>
      </c>
      <c r="Z19" s="208">
        <v>0</v>
      </c>
      <c r="AA19" s="156">
        <f t="shared" si="5"/>
        <v>5</v>
      </c>
      <c r="AB19" s="208">
        <f>Z19</f>
        <v>0</v>
      </c>
      <c r="AC19" s="208">
        <v>1.5</v>
      </c>
      <c r="AD19" s="208">
        <v>1.5</v>
      </c>
      <c r="AE19" s="208">
        <v>1.5</v>
      </c>
      <c r="AF19" s="156">
        <f t="shared" si="6"/>
        <v>4.5</v>
      </c>
      <c r="AG19" s="208">
        <f>AE19</f>
        <v>1.5</v>
      </c>
      <c r="AH19" s="208">
        <v>3</v>
      </c>
      <c r="AI19" s="208">
        <v>6</v>
      </c>
      <c r="AJ19" s="208">
        <v>6</v>
      </c>
      <c r="AK19" s="156">
        <f t="shared" si="7"/>
        <v>16.5</v>
      </c>
      <c r="AL19" s="156">
        <v>30</v>
      </c>
      <c r="AM19" s="156">
        <f t="shared" si="8"/>
        <v>30</v>
      </c>
      <c r="AN19" s="156">
        <f t="shared" ref="AN19" si="16">AM19</f>
        <v>30</v>
      </c>
    </row>
    <row r="20" spans="1:40" ht="15" customHeight="1" x14ac:dyDescent="0.2">
      <c r="A20" s="121" t="s">
        <v>19</v>
      </c>
      <c r="C20" s="121">
        <f>'Boeing Historical Deliveries'!R60</f>
        <v>45</v>
      </c>
      <c r="D20" s="121">
        <f>'Boeing Historical Deliveries'!V60</f>
        <v>38</v>
      </c>
      <c r="E20" s="121">
        <f>'Boeing Historical Deliveries'!Y60</f>
        <v>51</v>
      </c>
      <c r="F20" s="121">
        <f>'Boeing Historical Deliveries'!AB60</f>
        <v>22</v>
      </c>
      <c r="G20" s="156">
        <f t="shared" si="1"/>
        <v>156</v>
      </c>
      <c r="H20" s="155">
        <f>'Boeing Historical Deliveries'!AE60</f>
        <v>47</v>
      </c>
      <c r="I20" s="155">
        <f>'Boeing Historical Deliveries'!AI60</f>
        <v>12</v>
      </c>
      <c r="J20" s="155">
        <f>'Boeing Historical Deliveries'!AL60</f>
        <v>15</v>
      </c>
      <c r="K20" s="155">
        <f>'Boeing Historical Deliveries'!AO60</f>
        <v>12</v>
      </c>
      <c r="L20" s="156">
        <f t="shared" si="2"/>
        <v>86</v>
      </c>
      <c r="M20" s="155">
        <f>'Boeing Historical Deliveries'!AR60</f>
        <v>14</v>
      </c>
      <c r="N20" s="155">
        <f>'Boeing Historical Deliveries'!AV60</f>
        <v>1</v>
      </c>
      <c r="O20" s="155">
        <f>'Boeing Historical Deliveries'!AY60</f>
        <v>1</v>
      </c>
      <c r="P20" s="155">
        <f>'Boeing Historical Deliveries'!BB60</f>
        <v>10</v>
      </c>
      <c r="Q20" s="156">
        <f t="shared" si="3"/>
        <v>26</v>
      </c>
      <c r="R20" s="155">
        <f>'Boeing Historical Deliveries'!BE60</f>
        <v>2</v>
      </c>
      <c r="S20" s="155">
        <f>'Boeing Historical Deliveries'!BI60</f>
        <v>8</v>
      </c>
      <c r="T20" s="155">
        <f>'Boeing Historical Deliveries'!BL60</f>
        <v>13</v>
      </c>
      <c r="U20" s="155">
        <f>'Boeing Historical Deliveries'!BO60</f>
        <v>2</v>
      </c>
      <c r="V20" s="156">
        <f t="shared" si="4"/>
        <v>25</v>
      </c>
      <c r="W20" s="155">
        <f>'Boeing Historical Deliveries'!BR60</f>
        <v>8</v>
      </c>
      <c r="X20" s="208">
        <v>9</v>
      </c>
      <c r="Y20" s="208">
        <v>9</v>
      </c>
      <c r="Z20" s="208">
        <v>12</v>
      </c>
      <c r="AA20" s="156">
        <f t="shared" si="5"/>
        <v>38</v>
      </c>
      <c r="AB20" s="208">
        <f>Z20</f>
        <v>12</v>
      </c>
      <c r="AC20" s="208">
        <v>12</v>
      </c>
      <c r="AD20" s="208">
        <v>15</v>
      </c>
      <c r="AE20" s="208">
        <v>15</v>
      </c>
      <c r="AF20" s="156">
        <f t="shared" si="6"/>
        <v>54</v>
      </c>
      <c r="AG20" s="208">
        <v>18</v>
      </c>
      <c r="AH20" s="208">
        <v>21</v>
      </c>
      <c r="AI20" s="208">
        <v>21</v>
      </c>
      <c r="AJ20" s="208">
        <v>21</v>
      </c>
      <c r="AK20" s="156">
        <f t="shared" si="7"/>
        <v>81</v>
      </c>
      <c r="AL20" s="156">
        <f t="shared" si="8"/>
        <v>81</v>
      </c>
      <c r="AM20" s="156">
        <f t="shared" si="8"/>
        <v>81</v>
      </c>
      <c r="AN20" s="156">
        <f t="shared" ref="AN20" si="17">AM20</f>
        <v>81</v>
      </c>
    </row>
    <row r="21" spans="1:40" ht="15" customHeight="1" x14ac:dyDescent="0.2">
      <c r="A21" s="12" t="s">
        <v>20</v>
      </c>
      <c r="B21" s="12"/>
      <c r="C21" s="34">
        <f>SUM(C14:C20)</f>
        <v>283</v>
      </c>
      <c r="D21" s="34">
        <f>SUM(D14:D20)</f>
        <v>96</v>
      </c>
      <c r="E21" s="34">
        <f>SUM(E14:E20)</f>
        <v>76</v>
      </c>
      <c r="F21" s="34">
        <f>SUM(F14:F20)</f>
        <v>96</v>
      </c>
      <c r="G21" s="143">
        <f>SUM(G14:G20)</f>
        <v>551</v>
      </c>
      <c r="H21" s="34">
        <f>SUM(H14:H20)</f>
        <v>111</v>
      </c>
      <c r="I21" s="34">
        <f>SUM(I14:I20)</f>
        <v>42</v>
      </c>
      <c r="J21" s="34">
        <f>SUM(J14:J20)</f>
        <v>42</v>
      </c>
      <c r="K21" s="34">
        <f>SUM(K14:K20)</f>
        <v>41</v>
      </c>
      <c r="L21" s="143">
        <f>SUM(L14:L20)</f>
        <v>236</v>
      </c>
      <c r="M21" s="34">
        <f>SUM(M14:M20)</f>
        <v>32</v>
      </c>
      <c r="N21" s="34">
        <f>SUM(N14:N20)</f>
        <v>83</v>
      </c>
      <c r="O21" s="34">
        <f>SUM(O14:O20)</f>
        <v>62</v>
      </c>
      <c r="P21" s="34">
        <f>SUM(P14:P20)</f>
        <v>83</v>
      </c>
      <c r="Q21" s="143">
        <f>SUM(Q14:Q20)</f>
        <v>260</v>
      </c>
      <c r="R21" s="34">
        <f>SUM(R14:R20)</f>
        <v>110</v>
      </c>
      <c r="S21" s="34">
        <f>SUM(S14:S20)</f>
        <v>133</v>
      </c>
      <c r="T21" s="34">
        <f>SUM(T14:T20)</f>
        <v>117</v>
      </c>
      <c r="U21" s="34">
        <f>SUM(U14:U20)</f>
        <v>105</v>
      </c>
      <c r="V21" s="143">
        <f>SUM(V14:V20)</f>
        <v>465</v>
      </c>
      <c r="W21" s="34">
        <f>SUM(W14:W20)</f>
        <v>124</v>
      </c>
      <c r="X21" s="34">
        <f>SUM(X14:X20)</f>
        <v>99</v>
      </c>
      <c r="Y21" s="34">
        <f>SUM(Y14:Y20)</f>
        <v>99</v>
      </c>
      <c r="Z21" s="34">
        <f>SUM(Z14:Z20)</f>
        <v>114</v>
      </c>
      <c r="AA21" s="143">
        <f>SUM(AA14:AA20)</f>
        <v>436</v>
      </c>
      <c r="AB21" s="34">
        <f>SUM(AB14:AB20)</f>
        <v>114</v>
      </c>
      <c r="AC21" s="34">
        <f>SUM(AC14:AC20)</f>
        <v>124.5</v>
      </c>
      <c r="AD21" s="34">
        <f>SUM(AD14:AD20)</f>
        <v>139.5</v>
      </c>
      <c r="AE21" s="34">
        <f>SUM(AE14:AE20)</f>
        <v>148.5</v>
      </c>
      <c r="AF21" s="143">
        <f>SUM(AF14:AF20)</f>
        <v>526.5</v>
      </c>
      <c r="AG21" s="34">
        <f>SUM(AG14:AG20)</f>
        <v>151.5</v>
      </c>
      <c r="AH21" s="34">
        <f>SUM(AH14:AH20)</f>
        <v>156</v>
      </c>
      <c r="AI21" s="34">
        <f>SUM(AI14:AI20)</f>
        <v>171</v>
      </c>
      <c r="AJ21" s="34">
        <f>SUM(AJ14:AJ20)</f>
        <v>186</v>
      </c>
      <c r="AK21" s="143">
        <f>SUM(AK14:AK20)</f>
        <v>664.5</v>
      </c>
      <c r="AL21" s="143">
        <f>SUM(AL14:AL20)</f>
        <v>777</v>
      </c>
      <c r="AM21" s="143">
        <f>SUM(AM14:AM20)</f>
        <v>777</v>
      </c>
      <c r="AN21" s="143">
        <f>SUM(AN14:AN20)</f>
        <v>777</v>
      </c>
    </row>
    <row r="22" spans="1:40" ht="15" customHeight="1" x14ac:dyDescent="0.2">
      <c r="A22" s="124"/>
      <c r="B22" s="124"/>
      <c r="C22" s="124"/>
      <c r="D22" s="124"/>
      <c r="E22" s="124"/>
      <c r="F22" s="124"/>
      <c r="G22" s="117"/>
      <c r="H22" s="125"/>
      <c r="I22" s="125"/>
      <c r="J22" s="125"/>
      <c r="K22" s="125"/>
      <c r="L22" s="117"/>
      <c r="M22" s="125"/>
      <c r="N22" s="125"/>
      <c r="O22" s="125"/>
      <c r="P22" s="125"/>
      <c r="Q22" s="117"/>
      <c r="R22" s="125"/>
      <c r="S22" s="125"/>
      <c r="T22" s="125"/>
      <c r="U22" s="125"/>
      <c r="V22" s="117"/>
      <c r="W22" s="125"/>
      <c r="X22" s="125"/>
      <c r="Y22" s="125"/>
      <c r="Z22" s="125"/>
      <c r="AA22" s="117"/>
      <c r="AB22" s="125"/>
      <c r="AC22" s="125"/>
      <c r="AD22" s="125"/>
      <c r="AE22" s="125"/>
      <c r="AF22" s="117"/>
      <c r="AG22" s="125"/>
      <c r="AH22" s="125"/>
      <c r="AI22" s="125"/>
      <c r="AJ22" s="125"/>
      <c r="AK22" s="117"/>
      <c r="AL22" s="117"/>
      <c r="AM22" s="117"/>
      <c r="AN22" s="117"/>
    </row>
    <row r="23" spans="1:40" ht="15" customHeight="1" x14ac:dyDescent="0.2">
      <c r="A23" s="4" t="s">
        <v>81</v>
      </c>
      <c r="B23" s="4"/>
      <c r="C23" s="4"/>
      <c r="D23" s="4"/>
      <c r="E23" s="4"/>
      <c r="F23" s="4"/>
      <c r="G23" s="116"/>
      <c r="H23" s="4"/>
      <c r="I23" s="4"/>
      <c r="J23" s="4"/>
      <c r="K23" s="4"/>
      <c r="L23" s="116"/>
      <c r="M23" s="4"/>
      <c r="N23" s="4"/>
      <c r="O23" s="4"/>
      <c r="P23" s="4"/>
      <c r="Q23" s="116"/>
      <c r="R23" s="4"/>
      <c r="S23" s="4"/>
      <c r="T23" s="4"/>
      <c r="U23" s="4"/>
      <c r="V23" s="116"/>
      <c r="W23" s="4"/>
      <c r="X23" s="4"/>
      <c r="Y23" s="4"/>
      <c r="Z23" s="4"/>
      <c r="AA23" s="116"/>
      <c r="AB23" s="4"/>
      <c r="AC23" s="4"/>
      <c r="AD23" s="4"/>
      <c r="AE23" s="4"/>
      <c r="AF23" s="116"/>
      <c r="AG23" s="4"/>
      <c r="AH23" s="4"/>
      <c r="AI23" s="4"/>
      <c r="AJ23" s="4"/>
      <c r="AK23" s="116"/>
      <c r="AL23" s="116"/>
      <c r="AM23" s="116"/>
      <c r="AN23" s="116"/>
    </row>
    <row r="24" spans="1:40" ht="15" customHeight="1" x14ac:dyDescent="0.2">
      <c r="A24" s="121" t="s">
        <v>85</v>
      </c>
      <c r="C24" s="121">
        <f>'Historical deliveries - Airbus'!C12/4</f>
        <v>156.5</v>
      </c>
      <c r="D24" s="121">
        <f>E24</f>
        <v>160.5</v>
      </c>
      <c r="E24" s="151">
        <f>F24</f>
        <v>160.5</v>
      </c>
      <c r="F24" s="151">
        <f>H24</f>
        <v>160.5</v>
      </c>
      <c r="G24" s="156">
        <f t="shared" ref="G24:G27" si="18">SUM(C24:F24)</f>
        <v>638</v>
      </c>
      <c r="H24" s="158">
        <f>'Historical deliveries - Airbus'!C9/4</f>
        <v>160.5</v>
      </c>
      <c r="I24" s="155">
        <f>'Historical deliveries - Airbus'!C6/4</f>
        <v>111.5</v>
      </c>
      <c r="J24" s="155">
        <f>I24</f>
        <v>111.5</v>
      </c>
      <c r="K24" s="155">
        <f t="shared" ref="K24" si="19">J24</f>
        <v>111.5</v>
      </c>
      <c r="L24" s="156">
        <f t="shared" ref="L24:L27" si="20">SUM(H24:K24)</f>
        <v>495</v>
      </c>
      <c r="M24" s="155">
        <f>K24</f>
        <v>111.5</v>
      </c>
      <c r="N24" s="155">
        <f>'Historical deliveries - Airbus'!C3/4</f>
        <v>120.75</v>
      </c>
      <c r="O24" s="155">
        <f>N24</f>
        <v>120.75</v>
      </c>
      <c r="P24" s="155">
        <f t="shared" ref="P24" si="21">O24</f>
        <v>120.75</v>
      </c>
      <c r="Q24" s="156">
        <f t="shared" ref="Q24:Q27" si="22">SUM(M24:P24)</f>
        <v>473.75</v>
      </c>
      <c r="R24" s="155">
        <f>P24</f>
        <v>120.75</v>
      </c>
      <c r="S24" s="155">
        <f>'Airbus Deliveries 2022'!E25</f>
        <v>109</v>
      </c>
      <c r="T24" s="155">
        <f>'Airbus Deliveries 2022'!H25</f>
        <v>121</v>
      </c>
      <c r="U24" s="155">
        <f>'Airbus Deliveries 2022'!K25</f>
        <v>110</v>
      </c>
      <c r="V24" s="156">
        <f t="shared" ref="V24:V27" si="23">SUM(R24:U24)</f>
        <v>460.75</v>
      </c>
      <c r="W24" s="155">
        <f>'Airbus Deliveries 2022'!N25</f>
        <v>176</v>
      </c>
      <c r="X24" s="208">
        <v>150</v>
      </c>
      <c r="Y24" s="208">
        <v>157.5</v>
      </c>
      <c r="Z24" s="208">
        <v>137.5</v>
      </c>
      <c r="AA24" s="156">
        <f t="shared" ref="AA24:AA27" si="24">SUM(W24:Z24)</f>
        <v>621</v>
      </c>
      <c r="AB24" s="208">
        <v>165</v>
      </c>
      <c r="AC24" s="208">
        <v>180</v>
      </c>
      <c r="AD24" s="208">
        <v>180</v>
      </c>
      <c r="AE24" s="208">
        <f t="shared" ref="AE24:AJ24" si="25">AD24</f>
        <v>180</v>
      </c>
      <c r="AF24" s="156">
        <f t="shared" ref="AF24:AF27" si="26">SUM(AB24:AE24)</f>
        <v>705</v>
      </c>
      <c r="AG24" s="208">
        <f>AE24</f>
        <v>180</v>
      </c>
      <c r="AH24" s="208">
        <f t="shared" si="25"/>
        <v>180</v>
      </c>
      <c r="AI24" s="208">
        <f t="shared" si="25"/>
        <v>180</v>
      </c>
      <c r="AJ24" s="208">
        <f t="shared" si="25"/>
        <v>180</v>
      </c>
      <c r="AK24" s="156">
        <f t="shared" ref="AK24:AK27" si="27">SUM(AG24:AJ24)</f>
        <v>720</v>
      </c>
      <c r="AL24" s="156">
        <f>AK24</f>
        <v>720</v>
      </c>
      <c r="AM24" s="156">
        <f>AL24</f>
        <v>720</v>
      </c>
      <c r="AN24" s="156">
        <f>AM24</f>
        <v>720</v>
      </c>
    </row>
    <row r="25" spans="1:40" ht="15" customHeight="1" x14ac:dyDescent="0.2">
      <c r="A25" s="121" t="s">
        <v>6</v>
      </c>
      <c r="C25" s="121">
        <f>'Historical deliveries - Airbus'!B12/4</f>
        <v>5</v>
      </c>
      <c r="D25" s="121">
        <f t="shared" ref="D25:E27" si="28">E25</f>
        <v>12</v>
      </c>
      <c r="E25" s="121">
        <f t="shared" si="28"/>
        <v>12</v>
      </c>
      <c r="F25" s="121">
        <f t="shared" ref="F25:F27" si="29">H25</f>
        <v>12</v>
      </c>
      <c r="G25" s="156">
        <f t="shared" si="18"/>
        <v>41</v>
      </c>
      <c r="H25" s="158">
        <f>'Historical deliveries - Airbus'!B9/4</f>
        <v>12</v>
      </c>
      <c r="I25" s="155">
        <f>'Historical deliveries - Airbus'!B6/4</f>
        <v>9.5</v>
      </c>
      <c r="J25" s="155">
        <f t="shared" ref="J25:K25" si="30">I25</f>
        <v>9.5</v>
      </c>
      <c r="K25" s="155">
        <f t="shared" si="30"/>
        <v>9.5</v>
      </c>
      <c r="L25" s="156">
        <f t="shared" si="20"/>
        <v>40.5</v>
      </c>
      <c r="M25" s="155">
        <f>K25</f>
        <v>9.5</v>
      </c>
      <c r="N25" s="155">
        <f>'Historical deliveries - Airbus'!B3/4</f>
        <v>12.5</v>
      </c>
      <c r="O25" s="155">
        <f t="shared" ref="O25:P25" si="31">N25</f>
        <v>12.5</v>
      </c>
      <c r="P25" s="155">
        <f t="shared" si="31"/>
        <v>12.5</v>
      </c>
      <c r="Q25" s="156">
        <f t="shared" si="22"/>
        <v>47</v>
      </c>
      <c r="R25" s="155">
        <f>P25</f>
        <v>12.5</v>
      </c>
      <c r="S25" s="155">
        <f>'Airbus Deliveries 2022'!E26</f>
        <v>11</v>
      </c>
      <c r="T25" s="155">
        <f>'Airbus Deliveries 2022'!H26</f>
        <v>14</v>
      </c>
      <c r="U25" s="155">
        <f>'Airbus Deliveries 2022'!K26</f>
        <v>9</v>
      </c>
      <c r="V25" s="156">
        <f t="shared" si="23"/>
        <v>46.5</v>
      </c>
      <c r="W25" s="155">
        <f>'Airbus Deliveries 2022'!N26</f>
        <v>19</v>
      </c>
      <c r="X25" s="208">
        <v>12</v>
      </c>
      <c r="Y25" s="208">
        <v>15</v>
      </c>
      <c r="Z25" s="208">
        <v>15</v>
      </c>
      <c r="AA25" s="156">
        <f t="shared" si="24"/>
        <v>61</v>
      </c>
      <c r="AB25" s="208">
        <v>21</v>
      </c>
      <c r="AC25" s="208">
        <v>21</v>
      </c>
      <c r="AD25" s="208">
        <v>27</v>
      </c>
      <c r="AE25" s="208">
        <f t="shared" ref="X25:AJ27" si="32">AD25</f>
        <v>27</v>
      </c>
      <c r="AF25" s="156">
        <f t="shared" si="26"/>
        <v>96</v>
      </c>
      <c r="AG25" s="208">
        <v>33</v>
      </c>
      <c r="AH25" s="208">
        <v>33</v>
      </c>
      <c r="AI25" s="208">
        <v>36</v>
      </c>
      <c r="AJ25" s="208">
        <f t="shared" si="32"/>
        <v>36</v>
      </c>
      <c r="AK25" s="156">
        <f t="shared" si="27"/>
        <v>138</v>
      </c>
      <c r="AL25" s="156">
        <f t="shared" ref="AL25:AM27" si="33">AK25</f>
        <v>138</v>
      </c>
      <c r="AM25" s="156">
        <f t="shared" si="33"/>
        <v>138</v>
      </c>
      <c r="AN25" s="156">
        <f t="shared" ref="AN25" si="34">AM25</f>
        <v>138</v>
      </c>
    </row>
    <row r="26" spans="1:40" ht="15" customHeight="1" x14ac:dyDescent="0.2">
      <c r="A26" s="121" t="s">
        <v>8</v>
      </c>
      <c r="C26" s="121">
        <f>'Historical deliveries - Airbus'!F12/4</f>
        <v>23.25</v>
      </c>
      <c r="D26" s="121">
        <f t="shared" si="28"/>
        <v>28</v>
      </c>
      <c r="E26" s="121">
        <f t="shared" si="28"/>
        <v>28</v>
      </c>
      <c r="F26" s="121">
        <f t="shared" si="29"/>
        <v>28</v>
      </c>
      <c r="G26" s="156">
        <f t="shared" si="18"/>
        <v>107.25</v>
      </c>
      <c r="H26" s="158">
        <f>'Historical deliveries - Airbus'!F9/4</f>
        <v>28</v>
      </c>
      <c r="I26" s="155">
        <f>'Historical deliveries - Airbus'!F6/4</f>
        <v>14.75</v>
      </c>
      <c r="J26" s="155">
        <f t="shared" ref="J26:K26" si="35">I26</f>
        <v>14.75</v>
      </c>
      <c r="K26" s="155">
        <f t="shared" si="35"/>
        <v>14.75</v>
      </c>
      <c r="L26" s="156">
        <f t="shared" si="20"/>
        <v>72.25</v>
      </c>
      <c r="M26" s="155">
        <f>K26</f>
        <v>14.75</v>
      </c>
      <c r="N26" s="155">
        <f>'Historical deliveries - Airbus'!F3/4</f>
        <v>13.25</v>
      </c>
      <c r="O26" s="155">
        <f t="shared" ref="O26:P26" si="36">N26</f>
        <v>13.25</v>
      </c>
      <c r="P26" s="155">
        <f t="shared" si="36"/>
        <v>13.25</v>
      </c>
      <c r="Q26" s="156">
        <f t="shared" si="22"/>
        <v>54.5</v>
      </c>
      <c r="R26" s="155">
        <f>P26</f>
        <v>13.25</v>
      </c>
      <c r="S26" s="155">
        <f>'Airbus Deliveries 2022'!E27</f>
        <v>16</v>
      </c>
      <c r="T26" s="155">
        <f>'Airbus Deliveries 2022'!H27</f>
        <v>13</v>
      </c>
      <c r="U26" s="155">
        <f>'Airbus Deliveries 2022'!K27</f>
        <v>13</v>
      </c>
      <c r="V26" s="156">
        <f t="shared" si="23"/>
        <v>55.25</v>
      </c>
      <c r="W26" s="155">
        <f>'Airbus Deliveries 2022'!N27</f>
        <v>20</v>
      </c>
      <c r="X26" s="208">
        <v>15</v>
      </c>
      <c r="Y26" s="208">
        <v>15</v>
      </c>
      <c r="Z26" s="208">
        <v>15</v>
      </c>
      <c r="AA26" s="156">
        <f t="shared" si="24"/>
        <v>65</v>
      </c>
      <c r="AB26" s="208">
        <f>Z26</f>
        <v>15</v>
      </c>
      <c r="AC26" s="208">
        <v>18</v>
      </c>
      <c r="AD26" s="208">
        <v>21</v>
      </c>
      <c r="AE26" s="208">
        <f t="shared" si="32"/>
        <v>21</v>
      </c>
      <c r="AF26" s="156">
        <f t="shared" si="26"/>
        <v>75</v>
      </c>
      <c r="AG26" s="208">
        <f>AE26</f>
        <v>21</v>
      </c>
      <c r="AH26" s="208">
        <f t="shared" si="32"/>
        <v>21</v>
      </c>
      <c r="AI26" s="208">
        <f t="shared" si="32"/>
        <v>21</v>
      </c>
      <c r="AJ26" s="208">
        <f t="shared" si="32"/>
        <v>21</v>
      </c>
      <c r="AK26" s="156">
        <f t="shared" si="27"/>
        <v>84</v>
      </c>
      <c r="AL26" s="156">
        <f t="shared" si="33"/>
        <v>84</v>
      </c>
      <c r="AM26" s="156">
        <f t="shared" si="33"/>
        <v>84</v>
      </c>
      <c r="AN26" s="156">
        <f t="shared" ref="AN26" si="37">AM26</f>
        <v>84</v>
      </c>
    </row>
    <row r="27" spans="1:40" ht="15" customHeight="1" x14ac:dyDescent="0.2">
      <c r="A27" s="121" t="s">
        <v>93</v>
      </c>
      <c r="C27" s="121">
        <f>'Historical deliveries - Airbus'!D12/4</f>
        <v>12.25</v>
      </c>
      <c r="D27" s="121">
        <f t="shared" si="28"/>
        <v>13.25</v>
      </c>
      <c r="E27" s="121">
        <f t="shared" si="28"/>
        <v>13.25</v>
      </c>
      <c r="F27" s="121">
        <f t="shared" si="29"/>
        <v>13.25</v>
      </c>
      <c r="G27" s="156">
        <f t="shared" si="18"/>
        <v>52</v>
      </c>
      <c r="H27" s="158">
        <f>'Historical deliveries - Airbus'!D9/4</f>
        <v>13.25</v>
      </c>
      <c r="I27" s="155">
        <f>'Historical deliveries - Airbus'!D6/4</f>
        <v>4.75</v>
      </c>
      <c r="J27" s="155">
        <f t="shared" ref="J27:K27" si="38">I27</f>
        <v>4.75</v>
      </c>
      <c r="K27" s="155">
        <f t="shared" si="38"/>
        <v>4.75</v>
      </c>
      <c r="L27" s="156">
        <f t="shared" si="20"/>
        <v>27.5</v>
      </c>
      <c r="M27" s="155">
        <f>K27</f>
        <v>4.75</v>
      </c>
      <c r="N27" s="155">
        <f>'Historical deliveries - Airbus'!D3/4</f>
        <v>4.5</v>
      </c>
      <c r="O27" s="155">
        <f t="shared" ref="O27:P27" si="39">N27</f>
        <v>4.5</v>
      </c>
      <c r="P27" s="155">
        <f t="shared" si="39"/>
        <v>4.5</v>
      </c>
      <c r="Q27" s="156">
        <f t="shared" si="22"/>
        <v>18.25</v>
      </c>
      <c r="R27" s="155">
        <f>P27</f>
        <v>4.5</v>
      </c>
      <c r="S27" s="155">
        <f>'Airbus Deliveries 2022'!E28</f>
        <v>6</v>
      </c>
      <c r="T27" s="155">
        <f>'Airbus Deliveries 2022'!H28</f>
        <v>7</v>
      </c>
      <c r="U27" s="155">
        <f>'Airbus Deliveries 2022'!K28</f>
        <v>8</v>
      </c>
      <c r="V27" s="156">
        <f t="shared" si="23"/>
        <v>25.5</v>
      </c>
      <c r="W27" s="155">
        <f>'Airbus Deliveries 2022'!N28</f>
        <v>11</v>
      </c>
      <c r="X27" s="208">
        <f t="shared" si="32"/>
        <v>11</v>
      </c>
      <c r="Y27" s="208">
        <f t="shared" si="32"/>
        <v>11</v>
      </c>
      <c r="Z27" s="208">
        <f t="shared" si="32"/>
        <v>11</v>
      </c>
      <c r="AA27" s="156">
        <f t="shared" si="24"/>
        <v>44</v>
      </c>
      <c r="AB27" s="208">
        <v>6</v>
      </c>
      <c r="AC27" s="208">
        <v>6</v>
      </c>
      <c r="AD27" s="208">
        <v>7.5</v>
      </c>
      <c r="AE27" s="208">
        <f t="shared" si="32"/>
        <v>7.5</v>
      </c>
      <c r="AF27" s="156">
        <f t="shared" si="26"/>
        <v>27</v>
      </c>
      <c r="AG27" s="208">
        <v>9</v>
      </c>
      <c r="AH27" s="208">
        <f t="shared" si="32"/>
        <v>9</v>
      </c>
      <c r="AI27" s="208">
        <f t="shared" si="32"/>
        <v>9</v>
      </c>
      <c r="AJ27" s="208">
        <f t="shared" si="32"/>
        <v>9</v>
      </c>
      <c r="AK27" s="156">
        <f t="shared" si="27"/>
        <v>36</v>
      </c>
      <c r="AL27" s="156">
        <f t="shared" si="33"/>
        <v>36</v>
      </c>
      <c r="AM27" s="156">
        <f t="shared" si="33"/>
        <v>36</v>
      </c>
      <c r="AN27" s="156">
        <f t="shared" ref="AN27" si="40">AM27</f>
        <v>36</v>
      </c>
    </row>
    <row r="28" spans="1:40" ht="15" customHeight="1" x14ac:dyDescent="0.2">
      <c r="A28" s="12" t="s">
        <v>94</v>
      </c>
      <c r="B28" s="12"/>
      <c r="C28" s="114">
        <f t="shared" ref="C28:R28" si="41">SUM(C24:C27)</f>
        <v>197</v>
      </c>
      <c r="D28" s="114">
        <f t="shared" si="41"/>
        <v>213.75</v>
      </c>
      <c r="E28" s="114">
        <f t="shared" si="41"/>
        <v>213.75</v>
      </c>
      <c r="F28" s="114">
        <f t="shared" si="41"/>
        <v>213.75</v>
      </c>
      <c r="G28" s="143">
        <f t="shared" ref="G28" si="42">SUM(G24:G27)</f>
        <v>838.25</v>
      </c>
      <c r="H28" s="114">
        <f t="shared" si="41"/>
        <v>213.75</v>
      </c>
      <c r="I28" s="34">
        <f t="shared" si="41"/>
        <v>140.5</v>
      </c>
      <c r="J28" s="34">
        <f t="shared" si="41"/>
        <v>140.5</v>
      </c>
      <c r="K28" s="34">
        <f t="shared" si="41"/>
        <v>140.5</v>
      </c>
      <c r="L28" s="143">
        <f t="shared" si="41"/>
        <v>635.25</v>
      </c>
      <c r="M28" s="34">
        <f t="shared" si="41"/>
        <v>140.5</v>
      </c>
      <c r="N28" s="34">
        <f t="shared" si="41"/>
        <v>151</v>
      </c>
      <c r="O28" s="34">
        <f t="shared" si="41"/>
        <v>151</v>
      </c>
      <c r="P28" s="34">
        <f t="shared" si="41"/>
        <v>151</v>
      </c>
      <c r="Q28" s="143">
        <f t="shared" ref="Q28" si="43">SUM(Q24:Q27)</f>
        <v>593.5</v>
      </c>
      <c r="R28" s="34">
        <f t="shared" si="41"/>
        <v>151</v>
      </c>
      <c r="S28" s="34">
        <f>SUM(S24:S27)</f>
        <v>142</v>
      </c>
      <c r="T28" s="34">
        <f t="shared" ref="T28:X28" si="44">SUM(T24:T27)</f>
        <v>155</v>
      </c>
      <c r="U28" s="34">
        <f t="shared" si="44"/>
        <v>140</v>
      </c>
      <c r="V28" s="143">
        <f t="shared" si="44"/>
        <v>588</v>
      </c>
      <c r="W28" s="34">
        <f t="shared" si="44"/>
        <v>226</v>
      </c>
      <c r="X28" s="34">
        <f t="shared" si="44"/>
        <v>188</v>
      </c>
      <c r="Y28" s="34">
        <f t="shared" ref="Y28:AK28" si="45">SUM(Y24:Y27)</f>
        <v>198.5</v>
      </c>
      <c r="Z28" s="34">
        <f t="shared" si="45"/>
        <v>178.5</v>
      </c>
      <c r="AA28" s="143">
        <f t="shared" si="45"/>
        <v>791</v>
      </c>
      <c r="AB28" s="34">
        <f t="shared" si="45"/>
        <v>207</v>
      </c>
      <c r="AC28" s="34">
        <f t="shared" si="45"/>
        <v>225</v>
      </c>
      <c r="AD28" s="34">
        <f t="shared" si="45"/>
        <v>235.5</v>
      </c>
      <c r="AE28" s="34">
        <f t="shared" si="45"/>
        <v>235.5</v>
      </c>
      <c r="AF28" s="143">
        <f t="shared" ref="AF28" si="46">SUM(AF24:AF27)</f>
        <v>903</v>
      </c>
      <c r="AG28" s="34">
        <f t="shared" si="45"/>
        <v>243</v>
      </c>
      <c r="AH28" s="34">
        <f t="shared" si="45"/>
        <v>243</v>
      </c>
      <c r="AI28" s="34">
        <f t="shared" si="45"/>
        <v>246</v>
      </c>
      <c r="AJ28" s="34">
        <f t="shared" si="45"/>
        <v>246</v>
      </c>
      <c r="AK28" s="143">
        <f t="shared" si="45"/>
        <v>978</v>
      </c>
      <c r="AL28" s="143">
        <f>SUM(AL24:AL27)</f>
        <v>978</v>
      </c>
      <c r="AM28" s="143">
        <f t="shared" ref="AM28:AN28" si="47">SUM(AM24:AM27)</f>
        <v>978</v>
      </c>
      <c r="AN28" s="143">
        <f t="shared" si="47"/>
        <v>978</v>
      </c>
    </row>
    <row r="29" spans="1:40" ht="15" customHeight="1" x14ac:dyDescent="0.2">
      <c r="G29" s="156"/>
      <c r="H29" s="155"/>
      <c r="I29" s="155"/>
      <c r="J29" s="155"/>
      <c r="K29" s="155"/>
      <c r="L29" s="156"/>
      <c r="M29" s="155"/>
      <c r="N29" s="155"/>
      <c r="O29" s="155"/>
      <c r="P29" s="155"/>
      <c r="Q29" s="156"/>
      <c r="R29" s="155"/>
      <c r="S29" s="155"/>
      <c r="T29" s="155"/>
      <c r="U29" s="155"/>
      <c r="V29" s="156"/>
      <c r="W29" s="155"/>
      <c r="X29" s="155"/>
      <c r="Y29" s="155"/>
      <c r="Z29" s="155"/>
      <c r="AA29" s="156"/>
      <c r="AB29" s="155"/>
      <c r="AC29" s="155"/>
      <c r="AD29" s="155"/>
      <c r="AE29" s="155"/>
      <c r="AF29" s="156"/>
      <c r="AG29" s="155"/>
      <c r="AH29" s="155"/>
      <c r="AI29" s="155"/>
      <c r="AJ29" s="155"/>
      <c r="AK29" s="156"/>
      <c r="AL29" s="156"/>
      <c r="AM29" s="156"/>
      <c r="AN29" s="156"/>
    </row>
    <row r="30" spans="1:40" ht="15" customHeight="1" x14ac:dyDescent="0.2">
      <c r="A30" s="4" t="s">
        <v>113</v>
      </c>
      <c r="B30" s="4"/>
      <c r="C30" s="4"/>
      <c r="D30" s="4"/>
      <c r="E30" s="4"/>
      <c r="F30" s="4"/>
      <c r="G30" s="116"/>
      <c r="H30" s="4"/>
      <c r="I30" s="4"/>
      <c r="J30" s="4"/>
      <c r="K30" s="4"/>
      <c r="L30" s="116"/>
      <c r="M30" s="4"/>
      <c r="N30" s="4"/>
      <c r="O30" s="4"/>
      <c r="P30" s="4"/>
      <c r="Q30" s="116"/>
      <c r="R30" s="4"/>
      <c r="S30" s="4"/>
      <c r="T30" s="4"/>
      <c r="U30" s="4"/>
      <c r="V30" s="116"/>
      <c r="W30" s="4"/>
      <c r="X30" s="4"/>
      <c r="Y30" s="4"/>
      <c r="Z30" s="4"/>
      <c r="AA30" s="116"/>
      <c r="AB30" s="4"/>
      <c r="AC30" s="4"/>
      <c r="AD30" s="4"/>
      <c r="AE30" s="4"/>
      <c r="AF30" s="116"/>
      <c r="AG30" s="4"/>
      <c r="AH30" s="4"/>
      <c r="AI30" s="4"/>
      <c r="AJ30" s="4"/>
      <c r="AK30" s="116"/>
      <c r="AL30" s="116"/>
      <c r="AM30" s="116"/>
      <c r="AN30" s="116"/>
    </row>
    <row r="31" spans="1:40" ht="15" customHeight="1" x14ac:dyDescent="0.2">
      <c r="A31" s="121" t="s">
        <v>114</v>
      </c>
      <c r="G31" s="156">
        <f t="shared" ref="G31:G32" si="48">SUM(C31:F31)</f>
        <v>0</v>
      </c>
      <c r="H31" s="155"/>
      <c r="I31" s="155"/>
      <c r="J31" s="155"/>
      <c r="K31" s="155"/>
      <c r="L31" s="156">
        <f t="shared" ref="L31:L32" si="49">SUM(H31:K31)</f>
        <v>0</v>
      </c>
      <c r="M31" s="155"/>
      <c r="N31" s="155"/>
      <c r="O31" s="155"/>
      <c r="P31" s="155"/>
      <c r="Q31" s="156">
        <f t="shared" ref="Q31:Q32" si="50">SUM(M31:P31)</f>
        <v>0</v>
      </c>
      <c r="R31" s="155">
        <v>8</v>
      </c>
      <c r="S31" s="155">
        <v>8</v>
      </c>
      <c r="T31" s="155">
        <v>7</v>
      </c>
      <c r="U31" s="155">
        <v>13</v>
      </c>
      <c r="V31" s="156">
        <f t="shared" ref="V31:V32" si="51">SUM(R31:U31)</f>
        <v>36</v>
      </c>
      <c r="W31" s="155">
        <v>9</v>
      </c>
      <c r="X31" s="208">
        <f t="shared" ref="X31:AJ31" si="52">W31</f>
        <v>9</v>
      </c>
      <c r="Y31" s="208">
        <f t="shared" si="52"/>
        <v>9</v>
      </c>
      <c r="Z31" s="208">
        <f t="shared" si="52"/>
        <v>9</v>
      </c>
      <c r="AA31" s="156">
        <f t="shared" ref="AA31:AA32" si="53">SUM(W31:Z31)</f>
        <v>36</v>
      </c>
      <c r="AB31" s="208">
        <f>Z31</f>
        <v>9</v>
      </c>
      <c r="AC31" s="208">
        <f t="shared" si="52"/>
        <v>9</v>
      </c>
      <c r="AD31" s="208">
        <f t="shared" si="52"/>
        <v>9</v>
      </c>
      <c r="AE31" s="208">
        <f t="shared" si="52"/>
        <v>9</v>
      </c>
      <c r="AF31" s="156">
        <f t="shared" ref="AF31:AF32" si="54">SUM(AB31:AE31)</f>
        <v>36</v>
      </c>
      <c r="AG31" s="208">
        <f>AE31</f>
        <v>9</v>
      </c>
      <c r="AH31" s="208">
        <f t="shared" si="52"/>
        <v>9</v>
      </c>
      <c r="AI31" s="208">
        <f t="shared" si="52"/>
        <v>9</v>
      </c>
      <c r="AJ31" s="208">
        <f t="shared" si="52"/>
        <v>9</v>
      </c>
      <c r="AK31" s="156">
        <f t="shared" ref="AK31:AK32" si="55">SUM(AG31:AJ31)</f>
        <v>36</v>
      </c>
      <c r="AL31" s="156">
        <f>AK31</f>
        <v>36</v>
      </c>
      <c r="AM31" s="156">
        <f>AL31</f>
        <v>36</v>
      </c>
      <c r="AN31" s="156">
        <f>AM31</f>
        <v>36</v>
      </c>
    </row>
    <row r="32" spans="1:40" ht="15" customHeight="1" x14ac:dyDescent="0.2">
      <c r="A32" s="121" t="s">
        <v>115</v>
      </c>
      <c r="G32" s="156">
        <f t="shared" si="48"/>
        <v>0</v>
      </c>
      <c r="H32" s="155"/>
      <c r="I32" s="155"/>
      <c r="J32" s="155"/>
      <c r="K32" s="155"/>
      <c r="L32" s="156">
        <f t="shared" si="49"/>
        <v>0</v>
      </c>
      <c r="M32" s="155"/>
      <c r="N32" s="155"/>
      <c r="O32" s="155"/>
      <c r="P32" s="155"/>
      <c r="Q32" s="156">
        <f t="shared" si="50"/>
        <v>0</v>
      </c>
      <c r="R32" s="155">
        <v>12</v>
      </c>
      <c r="S32" s="155">
        <v>12</v>
      </c>
      <c r="T32" s="155">
        <v>11</v>
      </c>
      <c r="U32" s="155">
        <v>19</v>
      </c>
      <c r="V32" s="156">
        <f t="shared" si="51"/>
        <v>54</v>
      </c>
      <c r="W32" s="155">
        <v>13</v>
      </c>
      <c r="X32" s="208">
        <f t="shared" ref="X32:AJ32" si="56">W32</f>
        <v>13</v>
      </c>
      <c r="Y32" s="208">
        <f t="shared" si="56"/>
        <v>13</v>
      </c>
      <c r="Z32" s="208">
        <f t="shared" si="56"/>
        <v>13</v>
      </c>
      <c r="AA32" s="156">
        <f t="shared" si="53"/>
        <v>52</v>
      </c>
      <c r="AB32" s="208">
        <f>Z32</f>
        <v>13</v>
      </c>
      <c r="AC32" s="208">
        <f t="shared" si="56"/>
        <v>13</v>
      </c>
      <c r="AD32" s="208">
        <f t="shared" si="56"/>
        <v>13</v>
      </c>
      <c r="AE32" s="208">
        <f t="shared" si="56"/>
        <v>13</v>
      </c>
      <c r="AF32" s="156">
        <f t="shared" si="54"/>
        <v>52</v>
      </c>
      <c r="AG32" s="208">
        <f>AE32</f>
        <v>13</v>
      </c>
      <c r="AH32" s="208">
        <f t="shared" si="56"/>
        <v>13</v>
      </c>
      <c r="AI32" s="208">
        <f t="shared" si="56"/>
        <v>13</v>
      </c>
      <c r="AJ32" s="208">
        <f t="shared" si="56"/>
        <v>13</v>
      </c>
      <c r="AK32" s="156">
        <f t="shared" si="55"/>
        <v>52</v>
      </c>
      <c r="AL32" s="156">
        <f>AK32</f>
        <v>52</v>
      </c>
      <c r="AM32" s="156">
        <f>AL32</f>
        <v>52</v>
      </c>
      <c r="AN32" s="156">
        <f>AM32</f>
        <v>52</v>
      </c>
    </row>
    <row r="33" spans="1:40" ht="15" customHeight="1" x14ac:dyDescent="0.2">
      <c r="A33" s="12" t="s">
        <v>116</v>
      </c>
      <c r="B33" s="12"/>
      <c r="C33" s="12"/>
      <c r="D33" s="12"/>
      <c r="E33" s="12"/>
      <c r="F33" s="12"/>
      <c r="G33" s="143">
        <f t="shared" ref="G33" si="57">SUM(G31:G32)</f>
        <v>0</v>
      </c>
      <c r="H33" s="34">
        <f t="shared" ref="H33:Q33" si="58">SUM(H31:H32)</f>
        <v>0</v>
      </c>
      <c r="I33" s="34">
        <f t="shared" si="58"/>
        <v>0</v>
      </c>
      <c r="J33" s="34">
        <f t="shared" si="58"/>
        <v>0</v>
      </c>
      <c r="K33" s="34">
        <f t="shared" si="58"/>
        <v>0</v>
      </c>
      <c r="L33" s="143">
        <f t="shared" si="58"/>
        <v>0</v>
      </c>
      <c r="M33" s="34">
        <f t="shared" si="58"/>
        <v>0</v>
      </c>
      <c r="N33" s="34">
        <f t="shared" si="58"/>
        <v>0</v>
      </c>
      <c r="O33" s="34">
        <f t="shared" si="58"/>
        <v>0</v>
      </c>
      <c r="P33" s="34">
        <f t="shared" si="58"/>
        <v>0</v>
      </c>
      <c r="Q33" s="143">
        <f t="shared" si="58"/>
        <v>0</v>
      </c>
      <c r="R33" s="34">
        <f>SUM(R31:R32)</f>
        <v>20</v>
      </c>
      <c r="S33" s="34">
        <f t="shared" ref="S33:W33" si="59">SUM(S31:S32)</f>
        <v>20</v>
      </c>
      <c r="T33" s="34">
        <f t="shared" si="59"/>
        <v>18</v>
      </c>
      <c r="U33" s="34">
        <f t="shared" si="59"/>
        <v>32</v>
      </c>
      <c r="V33" s="143">
        <f t="shared" si="59"/>
        <v>90</v>
      </c>
      <c r="W33" s="34">
        <f t="shared" si="59"/>
        <v>22</v>
      </c>
      <c r="X33" s="34">
        <f>SUM(X31:X32)</f>
        <v>22</v>
      </c>
      <c r="Y33" s="34">
        <f t="shared" ref="Y33:AL33" si="60">SUM(Y31:Y32)</f>
        <v>22</v>
      </c>
      <c r="Z33" s="34">
        <f t="shared" si="60"/>
        <v>22</v>
      </c>
      <c r="AA33" s="143">
        <f t="shared" si="60"/>
        <v>88</v>
      </c>
      <c r="AB33" s="34">
        <f t="shared" si="60"/>
        <v>22</v>
      </c>
      <c r="AC33" s="34">
        <f t="shared" si="60"/>
        <v>22</v>
      </c>
      <c r="AD33" s="34">
        <f t="shared" si="60"/>
        <v>22</v>
      </c>
      <c r="AE33" s="34">
        <f t="shared" si="60"/>
        <v>22</v>
      </c>
      <c r="AF33" s="143">
        <f t="shared" ref="AF33" si="61">SUM(AF31:AF32)</f>
        <v>88</v>
      </c>
      <c r="AG33" s="34">
        <f t="shared" si="60"/>
        <v>22</v>
      </c>
      <c r="AH33" s="34">
        <f t="shared" si="60"/>
        <v>22</v>
      </c>
      <c r="AI33" s="34">
        <f t="shared" si="60"/>
        <v>22</v>
      </c>
      <c r="AJ33" s="34">
        <f t="shared" si="60"/>
        <v>22</v>
      </c>
      <c r="AK33" s="143">
        <f t="shared" ref="AK33" si="62">SUM(AK31:AK32)</f>
        <v>88</v>
      </c>
      <c r="AL33" s="143">
        <f t="shared" si="60"/>
        <v>88</v>
      </c>
      <c r="AM33" s="143">
        <f t="shared" ref="AM33:AN33" si="63">SUM(AM31:AM32)</f>
        <v>88</v>
      </c>
      <c r="AN33" s="143">
        <f t="shared" si="63"/>
        <v>88</v>
      </c>
    </row>
    <row r="34" spans="1:40" ht="15" customHeight="1" x14ac:dyDescent="0.2">
      <c r="A34" s="1"/>
      <c r="B34" s="1"/>
      <c r="C34" s="1"/>
      <c r="D34" s="1"/>
      <c r="E34" s="1"/>
      <c r="F34" s="1"/>
      <c r="G34" s="117"/>
      <c r="H34" s="35"/>
      <c r="I34" s="35"/>
      <c r="J34" s="35"/>
      <c r="K34" s="35"/>
      <c r="L34" s="117"/>
      <c r="M34" s="35"/>
      <c r="N34" s="35"/>
      <c r="O34" s="35"/>
      <c r="P34" s="35"/>
      <c r="Q34" s="117"/>
      <c r="R34" s="35"/>
      <c r="S34" s="35"/>
      <c r="T34" s="35"/>
      <c r="U34" s="35"/>
      <c r="V34" s="117"/>
      <c r="W34" s="35"/>
      <c r="X34" s="35"/>
      <c r="Y34" s="35"/>
      <c r="Z34" s="35"/>
      <c r="AA34" s="117"/>
      <c r="AB34" s="35"/>
      <c r="AC34" s="35"/>
      <c r="AD34" s="35"/>
      <c r="AE34" s="35"/>
      <c r="AF34" s="117"/>
      <c r="AG34" s="35"/>
      <c r="AH34" s="35"/>
      <c r="AI34" s="35"/>
      <c r="AJ34" s="35"/>
      <c r="AK34" s="117"/>
      <c r="AL34" s="117"/>
      <c r="AM34" s="117"/>
      <c r="AN34" s="117"/>
    </row>
    <row r="35" spans="1:40" ht="15" customHeight="1" x14ac:dyDescent="0.2">
      <c r="A35" s="4" t="s">
        <v>95</v>
      </c>
      <c r="B35" s="4"/>
      <c r="C35" s="4"/>
      <c r="D35" s="4"/>
      <c r="E35" s="4"/>
      <c r="F35" s="4"/>
      <c r="G35" s="116"/>
      <c r="H35" s="4"/>
      <c r="I35" s="4"/>
      <c r="J35" s="4"/>
      <c r="K35" s="4"/>
      <c r="L35" s="116"/>
      <c r="M35" s="4"/>
      <c r="N35" s="4"/>
      <c r="O35" s="4"/>
      <c r="P35" s="4"/>
      <c r="Q35" s="116"/>
      <c r="R35" s="4"/>
      <c r="S35" s="4"/>
      <c r="T35" s="4"/>
      <c r="U35" s="4"/>
      <c r="V35" s="116"/>
      <c r="W35" s="4"/>
      <c r="X35" s="4"/>
      <c r="Y35" s="4"/>
      <c r="Z35" s="4"/>
      <c r="AA35" s="116"/>
      <c r="AB35" s="4"/>
      <c r="AC35" s="4"/>
      <c r="AD35" s="4"/>
      <c r="AE35" s="4"/>
      <c r="AF35" s="116"/>
      <c r="AG35" s="4"/>
      <c r="AH35" s="4"/>
      <c r="AI35" s="4"/>
      <c r="AJ35" s="4"/>
      <c r="AK35" s="116"/>
      <c r="AL35" s="116"/>
      <c r="AM35" s="116"/>
      <c r="AN35" s="116"/>
    </row>
    <row r="36" spans="1:40" ht="15" customHeight="1" x14ac:dyDescent="0.2">
      <c r="A36" s="121" t="s">
        <v>96</v>
      </c>
      <c r="G36" s="156">
        <f t="shared" ref="G36:G40" si="64">SUM(C36:F36)</f>
        <v>0</v>
      </c>
      <c r="H36" s="159"/>
      <c r="I36" s="159"/>
      <c r="J36" s="159"/>
      <c r="K36" s="159"/>
      <c r="L36" s="156">
        <f t="shared" ref="L36:L40" si="65">SUM(H36:K36)</f>
        <v>0</v>
      </c>
      <c r="M36" s="159"/>
      <c r="N36" s="159"/>
      <c r="O36" s="159"/>
      <c r="P36" s="159"/>
      <c r="Q36" s="156">
        <f t="shared" ref="Q36:Q40" si="66">SUM(M36:P36)</f>
        <v>0</v>
      </c>
      <c r="R36" s="155">
        <v>6</v>
      </c>
      <c r="S36" s="155">
        <v>6</v>
      </c>
      <c r="T36" s="155">
        <v>7</v>
      </c>
      <c r="U36" s="155">
        <v>11</v>
      </c>
      <c r="V36" s="156">
        <f t="shared" ref="V36:V40" si="67">SUM(R36:U36)</f>
        <v>30</v>
      </c>
      <c r="W36" s="155">
        <v>8</v>
      </c>
      <c r="X36" s="208">
        <f t="shared" ref="X36:AJ36" si="68">W36</f>
        <v>8</v>
      </c>
      <c r="Y36" s="208">
        <f t="shared" si="68"/>
        <v>8</v>
      </c>
      <c r="Z36" s="208">
        <f t="shared" si="68"/>
        <v>8</v>
      </c>
      <c r="AA36" s="156">
        <f t="shared" ref="AA36:AA40" si="69">SUM(W36:Z36)</f>
        <v>32</v>
      </c>
      <c r="AB36" s="208">
        <f>Z36</f>
        <v>8</v>
      </c>
      <c r="AC36" s="208">
        <f t="shared" si="68"/>
        <v>8</v>
      </c>
      <c r="AD36" s="208">
        <f t="shared" si="68"/>
        <v>8</v>
      </c>
      <c r="AE36" s="208">
        <f t="shared" si="68"/>
        <v>8</v>
      </c>
      <c r="AF36" s="156">
        <f t="shared" ref="AF36:AF40" si="70">SUM(AB36:AE36)</f>
        <v>32</v>
      </c>
      <c r="AG36" s="208">
        <f>AE36</f>
        <v>8</v>
      </c>
      <c r="AH36" s="208">
        <f t="shared" si="68"/>
        <v>8</v>
      </c>
      <c r="AI36" s="208">
        <f t="shared" si="68"/>
        <v>8</v>
      </c>
      <c r="AJ36" s="208">
        <f t="shared" si="68"/>
        <v>8</v>
      </c>
      <c r="AK36" s="156">
        <f t="shared" ref="AK36:AK40" si="71">SUM(AG36:AJ36)</f>
        <v>32</v>
      </c>
      <c r="AL36" s="156">
        <f>AK36</f>
        <v>32</v>
      </c>
      <c r="AM36" s="156">
        <f t="shared" ref="AM36:AN36" si="72">AL36</f>
        <v>32</v>
      </c>
      <c r="AN36" s="156">
        <f t="shared" si="72"/>
        <v>32</v>
      </c>
    </row>
    <row r="37" spans="1:40" ht="15" customHeight="1" x14ac:dyDescent="0.2">
      <c r="A37" s="121" t="s">
        <v>97</v>
      </c>
      <c r="G37" s="156">
        <f t="shared" si="64"/>
        <v>0</v>
      </c>
      <c r="H37" s="159"/>
      <c r="I37" s="159"/>
      <c r="J37" s="159"/>
      <c r="K37" s="159"/>
      <c r="L37" s="156">
        <f t="shared" si="65"/>
        <v>0</v>
      </c>
      <c r="M37" s="159"/>
      <c r="N37" s="159"/>
      <c r="O37" s="159"/>
      <c r="P37" s="159"/>
      <c r="Q37" s="156">
        <f t="shared" si="66"/>
        <v>0</v>
      </c>
      <c r="R37" s="155">
        <v>6</v>
      </c>
      <c r="S37" s="155">
        <v>6</v>
      </c>
      <c r="T37" s="155">
        <v>7</v>
      </c>
      <c r="U37" s="155">
        <v>11</v>
      </c>
      <c r="V37" s="156">
        <f t="shared" si="67"/>
        <v>30</v>
      </c>
      <c r="W37" s="155">
        <v>8</v>
      </c>
      <c r="X37" s="208">
        <f t="shared" ref="X37:AJ37" si="73">W37</f>
        <v>8</v>
      </c>
      <c r="Y37" s="208">
        <f t="shared" si="73"/>
        <v>8</v>
      </c>
      <c r="Z37" s="208">
        <f t="shared" si="73"/>
        <v>8</v>
      </c>
      <c r="AA37" s="156">
        <f t="shared" si="69"/>
        <v>32</v>
      </c>
      <c r="AB37" s="208">
        <f>Z37</f>
        <v>8</v>
      </c>
      <c r="AC37" s="208">
        <f t="shared" si="73"/>
        <v>8</v>
      </c>
      <c r="AD37" s="208">
        <f t="shared" si="73"/>
        <v>8</v>
      </c>
      <c r="AE37" s="208">
        <f t="shared" si="73"/>
        <v>8</v>
      </c>
      <c r="AF37" s="156">
        <f t="shared" si="70"/>
        <v>32</v>
      </c>
      <c r="AG37" s="208">
        <f>AE37</f>
        <v>8</v>
      </c>
      <c r="AH37" s="208">
        <f t="shared" si="73"/>
        <v>8</v>
      </c>
      <c r="AI37" s="208">
        <f t="shared" si="73"/>
        <v>8</v>
      </c>
      <c r="AJ37" s="208">
        <f t="shared" si="73"/>
        <v>8</v>
      </c>
      <c r="AK37" s="156">
        <f t="shared" si="71"/>
        <v>32</v>
      </c>
      <c r="AL37" s="156">
        <f t="shared" ref="AL37:AN40" si="74">AK37</f>
        <v>32</v>
      </c>
      <c r="AM37" s="156">
        <f t="shared" si="74"/>
        <v>32</v>
      </c>
      <c r="AN37" s="156">
        <f t="shared" si="74"/>
        <v>32</v>
      </c>
    </row>
    <row r="38" spans="1:40" ht="15" customHeight="1" x14ac:dyDescent="0.2">
      <c r="A38" s="121" t="s">
        <v>98</v>
      </c>
      <c r="C38" s="121">
        <f>60/4</f>
        <v>15</v>
      </c>
      <c r="D38" s="121">
        <v>16</v>
      </c>
      <c r="E38" s="121">
        <v>15</v>
      </c>
      <c r="F38" s="121">
        <v>15</v>
      </c>
      <c r="G38" s="156">
        <f t="shared" si="64"/>
        <v>61</v>
      </c>
      <c r="H38" s="155">
        <v>18</v>
      </c>
      <c r="I38" s="155">
        <v>10</v>
      </c>
      <c r="J38" s="155">
        <v>6</v>
      </c>
      <c r="K38" s="155">
        <v>10</v>
      </c>
      <c r="L38" s="156">
        <f t="shared" si="65"/>
        <v>44</v>
      </c>
      <c r="M38" s="155">
        <v>12</v>
      </c>
      <c r="N38" s="155">
        <v>8</v>
      </c>
      <c r="O38" s="155">
        <v>7</v>
      </c>
      <c r="P38" s="155">
        <v>11</v>
      </c>
      <c r="Q38" s="156">
        <f t="shared" si="66"/>
        <v>38</v>
      </c>
      <c r="R38" s="155">
        <v>13</v>
      </c>
      <c r="S38" s="155">
        <v>9</v>
      </c>
      <c r="T38" s="155">
        <v>8</v>
      </c>
      <c r="U38" s="155">
        <v>8</v>
      </c>
      <c r="V38" s="156">
        <f t="shared" si="67"/>
        <v>38</v>
      </c>
      <c r="W38" s="155">
        <v>9</v>
      </c>
      <c r="X38" s="208">
        <f t="shared" ref="X38:AJ38" si="75">W38</f>
        <v>9</v>
      </c>
      <c r="Y38" s="208">
        <f t="shared" si="75"/>
        <v>9</v>
      </c>
      <c r="Z38" s="208">
        <f t="shared" si="75"/>
        <v>9</v>
      </c>
      <c r="AA38" s="156">
        <f t="shared" si="69"/>
        <v>36</v>
      </c>
      <c r="AB38" s="208">
        <f>Z38</f>
        <v>9</v>
      </c>
      <c r="AC38" s="208">
        <f t="shared" si="75"/>
        <v>9</v>
      </c>
      <c r="AD38" s="208">
        <f t="shared" si="75"/>
        <v>9</v>
      </c>
      <c r="AE38" s="208">
        <f t="shared" si="75"/>
        <v>9</v>
      </c>
      <c r="AF38" s="156">
        <f t="shared" si="70"/>
        <v>36</v>
      </c>
      <c r="AG38" s="208">
        <f>AE38</f>
        <v>9</v>
      </c>
      <c r="AH38" s="208">
        <f t="shared" si="75"/>
        <v>9</v>
      </c>
      <c r="AI38" s="208">
        <f t="shared" si="75"/>
        <v>9</v>
      </c>
      <c r="AJ38" s="208">
        <f t="shared" si="75"/>
        <v>9</v>
      </c>
      <c r="AK38" s="156">
        <f t="shared" si="71"/>
        <v>36</v>
      </c>
      <c r="AL38" s="156">
        <f t="shared" si="74"/>
        <v>36</v>
      </c>
      <c r="AM38" s="156">
        <f t="shared" si="74"/>
        <v>36</v>
      </c>
      <c r="AN38" s="156">
        <f t="shared" si="74"/>
        <v>36</v>
      </c>
    </row>
    <row r="39" spans="1:40" ht="15" customHeight="1" x14ac:dyDescent="0.2">
      <c r="A39" s="121" t="s">
        <v>99</v>
      </c>
      <c r="C39" s="121">
        <v>7</v>
      </c>
      <c r="D39" s="121">
        <v>5</v>
      </c>
      <c r="E39" s="121">
        <v>5</v>
      </c>
      <c r="F39" s="121">
        <f>5+4</f>
        <v>9</v>
      </c>
      <c r="G39" s="156">
        <f t="shared" si="64"/>
        <v>26</v>
      </c>
      <c r="H39" s="155">
        <v>6</v>
      </c>
      <c r="I39" s="155">
        <v>6</v>
      </c>
      <c r="J39" s="155">
        <v>17</v>
      </c>
      <c r="K39" s="155">
        <v>13</v>
      </c>
      <c r="L39" s="156">
        <f t="shared" si="65"/>
        <v>42</v>
      </c>
      <c r="M39" s="155">
        <v>17</v>
      </c>
      <c r="N39" s="155">
        <v>12</v>
      </c>
      <c r="O39" s="155">
        <v>11</v>
      </c>
      <c r="P39" s="155">
        <v>13</v>
      </c>
      <c r="Q39" s="156">
        <f t="shared" si="66"/>
        <v>53</v>
      </c>
      <c r="R39" s="155">
        <v>20</v>
      </c>
      <c r="S39" s="155">
        <v>13</v>
      </c>
      <c r="T39" s="155">
        <v>9</v>
      </c>
      <c r="U39" s="155">
        <v>20</v>
      </c>
      <c r="V39" s="156">
        <f t="shared" si="67"/>
        <v>62</v>
      </c>
      <c r="W39" s="155">
        <v>20</v>
      </c>
      <c r="X39" s="208">
        <f t="shared" ref="X39:AJ39" si="76">W39</f>
        <v>20</v>
      </c>
      <c r="Y39" s="208">
        <f t="shared" si="76"/>
        <v>20</v>
      </c>
      <c r="Z39" s="208">
        <f t="shared" si="76"/>
        <v>20</v>
      </c>
      <c r="AA39" s="156">
        <f t="shared" si="69"/>
        <v>80</v>
      </c>
      <c r="AB39" s="208">
        <v>25</v>
      </c>
      <c r="AC39" s="208">
        <f t="shared" si="76"/>
        <v>25</v>
      </c>
      <c r="AD39" s="208">
        <f t="shared" si="76"/>
        <v>25</v>
      </c>
      <c r="AE39" s="208">
        <f t="shared" si="76"/>
        <v>25</v>
      </c>
      <c r="AF39" s="156">
        <f t="shared" si="70"/>
        <v>100</v>
      </c>
      <c r="AG39" s="208">
        <f>AE39</f>
        <v>25</v>
      </c>
      <c r="AH39" s="208">
        <f t="shared" si="76"/>
        <v>25</v>
      </c>
      <c r="AI39" s="208">
        <f t="shared" si="76"/>
        <v>25</v>
      </c>
      <c r="AJ39" s="208">
        <f t="shared" si="76"/>
        <v>25</v>
      </c>
      <c r="AK39" s="156">
        <f t="shared" si="71"/>
        <v>100</v>
      </c>
      <c r="AL39" s="156">
        <f t="shared" si="74"/>
        <v>100</v>
      </c>
      <c r="AM39" s="156">
        <f t="shared" si="74"/>
        <v>100</v>
      </c>
      <c r="AN39" s="156">
        <f t="shared" si="74"/>
        <v>100</v>
      </c>
    </row>
    <row r="40" spans="1:40" ht="15" customHeight="1" x14ac:dyDescent="0.2">
      <c r="A40" s="121" t="s">
        <v>100</v>
      </c>
      <c r="G40" s="156">
        <f t="shared" si="64"/>
        <v>0</v>
      </c>
      <c r="H40" s="155">
        <v>0</v>
      </c>
      <c r="I40" s="155">
        <v>0</v>
      </c>
      <c r="J40" s="155">
        <v>0</v>
      </c>
      <c r="K40" s="155">
        <v>0</v>
      </c>
      <c r="L40" s="156">
        <f t="shared" si="65"/>
        <v>0</v>
      </c>
      <c r="M40" s="155">
        <v>0</v>
      </c>
      <c r="N40" s="155">
        <v>0</v>
      </c>
      <c r="O40" s="155">
        <v>0</v>
      </c>
      <c r="P40" s="155">
        <v>0</v>
      </c>
      <c r="Q40" s="156">
        <f t="shared" si="66"/>
        <v>0</v>
      </c>
      <c r="R40" s="155">
        <v>0</v>
      </c>
      <c r="S40" s="155">
        <v>0</v>
      </c>
      <c r="T40" s="155">
        <v>0</v>
      </c>
      <c r="U40" s="155">
        <v>0</v>
      </c>
      <c r="V40" s="156">
        <f t="shared" si="67"/>
        <v>0</v>
      </c>
      <c r="W40" s="155">
        <v>0</v>
      </c>
      <c r="X40" s="208">
        <f t="shared" ref="X40:AJ40" si="77">W40</f>
        <v>0</v>
      </c>
      <c r="Y40" s="208">
        <f t="shared" si="77"/>
        <v>0</v>
      </c>
      <c r="Z40" s="208">
        <f t="shared" si="77"/>
        <v>0</v>
      </c>
      <c r="AA40" s="156">
        <f t="shared" si="69"/>
        <v>0</v>
      </c>
      <c r="AB40" s="208">
        <f>Z40</f>
        <v>0</v>
      </c>
      <c r="AC40" s="208">
        <f t="shared" si="77"/>
        <v>0</v>
      </c>
      <c r="AD40" s="208">
        <f t="shared" si="77"/>
        <v>0</v>
      </c>
      <c r="AE40" s="208">
        <f t="shared" si="77"/>
        <v>0</v>
      </c>
      <c r="AF40" s="156">
        <f t="shared" si="70"/>
        <v>0</v>
      </c>
      <c r="AG40" s="208">
        <f>AE40</f>
        <v>0</v>
      </c>
      <c r="AH40" s="208">
        <f t="shared" si="77"/>
        <v>0</v>
      </c>
      <c r="AI40" s="208">
        <f t="shared" si="77"/>
        <v>0</v>
      </c>
      <c r="AJ40" s="208">
        <f t="shared" si="77"/>
        <v>0</v>
      </c>
      <c r="AK40" s="156">
        <f t="shared" si="71"/>
        <v>0</v>
      </c>
      <c r="AL40" s="156">
        <f t="shared" si="74"/>
        <v>0</v>
      </c>
      <c r="AM40" s="156">
        <f t="shared" si="74"/>
        <v>0</v>
      </c>
      <c r="AN40" s="156">
        <f t="shared" si="74"/>
        <v>0</v>
      </c>
    </row>
    <row r="41" spans="1:40" ht="15" customHeight="1" x14ac:dyDescent="0.2">
      <c r="A41" s="121" t="s">
        <v>101</v>
      </c>
      <c r="G41" s="156"/>
      <c r="H41" s="159"/>
      <c r="I41" s="159"/>
      <c r="J41" s="159"/>
      <c r="K41" s="159"/>
      <c r="L41" s="156"/>
      <c r="M41" s="159"/>
      <c r="N41" s="159"/>
      <c r="O41" s="159"/>
      <c r="P41" s="159"/>
      <c r="Q41" s="156"/>
      <c r="R41" s="159"/>
      <c r="S41" s="159"/>
      <c r="T41" s="159"/>
      <c r="U41" s="159"/>
      <c r="V41" s="156"/>
      <c r="W41" s="159"/>
      <c r="X41" s="159"/>
      <c r="Y41" s="159"/>
      <c r="Z41" s="159"/>
      <c r="AA41" s="156"/>
      <c r="AB41" s="159"/>
      <c r="AC41" s="159"/>
      <c r="AD41" s="159"/>
      <c r="AE41" s="159"/>
      <c r="AF41" s="156"/>
      <c r="AG41" s="159"/>
      <c r="AH41" s="159"/>
      <c r="AI41" s="159"/>
      <c r="AJ41" s="159"/>
      <c r="AK41" s="156"/>
      <c r="AL41" s="156"/>
      <c r="AM41" s="156"/>
      <c r="AN41" s="156"/>
    </row>
    <row r="42" spans="1:40" ht="15" customHeight="1" x14ac:dyDescent="0.2">
      <c r="A42" s="12" t="s">
        <v>111</v>
      </c>
      <c r="B42" s="12"/>
      <c r="C42" s="34">
        <f t="shared" ref="C42:G42" si="78">SUM(C36:C41)</f>
        <v>22</v>
      </c>
      <c r="D42" s="34">
        <f t="shared" si="78"/>
        <v>21</v>
      </c>
      <c r="E42" s="34">
        <f t="shared" si="78"/>
        <v>20</v>
      </c>
      <c r="F42" s="34">
        <f t="shared" si="78"/>
        <v>24</v>
      </c>
      <c r="G42" s="143">
        <f t="shared" si="78"/>
        <v>87</v>
      </c>
      <c r="H42" s="34">
        <f t="shared" ref="H42:AL42" si="79">SUM(H36:H41)</f>
        <v>24</v>
      </c>
      <c r="I42" s="34">
        <f t="shared" si="79"/>
        <v>16</v>
      </c>
      <c r="J42" s="34">
        <f t="shared" si="79"/>
        <v>23</v>
      </c>
      <c r="K42" s="34">
        <f t="shared" si="79"/>
        <v>23</v>
      </c>
      <c r="L42" s="143">
        <f t="shared" ref="L42" si="80">SUM(L36:L41)</f>
        <v>86</v>
      </c>
      <c r="M42" s="34">
        <f t="shared" si="79"/>
        <v>29</v>
      </c>
      <c r="N42" s="34">
        <f t="shared" si="79"/>
        <v>20</v>
      </c>
      <c r="O42" s="34">
        <f t="shared" si="79"/>
        <v>18</v>
      </c>
      <c r="P42" s="34">
        <f t="shared" si="79"/>
        <v>24</v>
      </c>
      <c r="Q42" s="143">
        <f t="shared" ref="Q42" si="81">SUM(Q36:Q41)</f>
        <v>91</v>
      </c>
      <c r="R42" s="34">
        <f t="shared" si="79"/>
        <v>45</v>
      </c>
      <c r="S42" s="34">
        <f t="shared" si="79"/>
        <v>34</v>
      </c>
      <c r="T42" s="34">
        <f t="shared" si="79"/>
        <v>31</v>
      </c>
      <c r="U42" s="34">
        <f t="shared" si="79"/>
        <v>50</v>
      </c>
      <c r="V42" s="143">
        <f t="shared" si="79"/>
        <v>160</v>
      </c>
      <c r="W42" s="34">
        <f t="shared" si="79"/>
        <v>45</v>
      </c>
      <c r="X42" s="34">
        <f t="shared" si="79"/>
        <v>45</v>
      </c>
      <c r="Y42" s="34">
        <f t="shared" si="79"/>
        <v>45</v>
      </c>
      <c r="Z42" s="34">
        <f t="shared" si="79"/>
        <v>45</v>
      </c>
      <c r="AA42" s="143">
        <f t="shared" ref="AA42" si="82">SUM(AA36:AA41)</f>
        <v>180</v>
      </c>
      <c r="AB42" s="34">
        <f t="shared" si="79"/>
        <v>50</v>
      </c>
      <c r="AC42" s="34">
        <f t="shared" si="79"/>
        <v>50</v>
      </c>
      <c r="AD42" s="34">
        <f t="shared" si="79"/>
        <v>50</v>
      </c>
      <c r="AE42" s="34">
        <f t="shared" si="79"/>
        <v>50</v>
      </c>
      <c r="AF42" s="143">
        <f t="shared" si="79"/>
        <v>200</v>
      </c>
      <c r="AG42" s="34">
        <f t="shared" si="79"/>
        <v>50</v>
      </c>
      <c r="AH42" s="34">
        <f t="shared" si="79"/>
        <v>50</v>
      </c>
      <c r="AI42" s="34">
        <f t="shared" si="79"/>
        <v>50</v>
      </c>
      <c r="AJ42" s="34">
        <f t="shared" si="79"/>
        <v>50</v>
      </c>
      <c r="AK42" s="143">
        <f t="shared" si="79"/>
        <v>200</v>
      </c>
      <c r="AL42" s="143">
        <f t="shared" si="79"/>
        <v>200</v>
      </c>
      <c r="AM42" s="143">
        <f t="shared" ref="AM42:AN42" si="83">SUM(AM36:AM41)</f>
        <v>200</v>
      </c>
      <c r="AN42" s="143">
        <f t="shared" si="83"/>
        <v>200</v>
      </c>
    </row>
    <row r="43" spans="1:40" ht="15" customHeight="1" x14ac:dyDescent="0.2">
      <c r="G43" s="156"/>
      <c r="H43" s="155"/>
      <c r="I43" s="155"/>
      <c r="J43" s="155"/>
      <c r="K43" s="155"/>
      <c r="L43" s="156"/>
      <c r="M43" s="155"/>
      <c r="N43" s="155"/>
      <c r="O43" s="155"/>
      <c r="P43" s="155"/>
      <c r="Q43" s="156"/>
      <c r="R43" s="155"/>
      <c r="S43" s="155"/>
      <c r="T43" s="155"/>
      <c r="U43" s="155"/>
      <c r="V43" s="156"/>
      <c r="W43" s="155"/>
      <c r="X43" s="155"/>
      <c r="Y43" s="155"/>
      <c r="Z43" s="155"/>
      <c r="AA43" s="156"/>
      <c r="AB43" s="155"/>
      <c r="AC43" s="155"/>
      <c r="AD43" s="155"/>
      <c r="AE43" s="155"/>
      <c r="AF43" s="156"/>
      <c r="AG43" s="155"/>
      <c r="AH43" s="155"/>
      <c r="AI43" s="155"/>
      <c r="AJ43" s="155"/>
      <c r="AK43" s="156"/>
      <c r="AL43" s="156"/>
      <c r="AM43" s="156"/>
      <c r="AN43" s="156"/>
    </row>
    <row r="44" spans="1:40" ht="15" customHeight="1" x14ac:dyDescent="0.2">
      <c r="A44" s="126" t="s">
        <v>401</v>
      </c>
      <c r="B44" s="126"/>
      <c r="C44" s="126"/>
      <c r="D44" s="126"/>
      <c r="E44" s="126"/>
      <c r="F44" s="126"/>
      <c r="G44" s="116"/>
      <c r="H44" s="126"/>
      <c r="I44" s="126"/>
      <c r="J44" s="126"/>
      <c r="K44" s="126"/>
      <c r="L44" s="116"/>
      <c r="M44" s="126"/>
      <c r="N44" s="126"/>
      <c r="O44" s="126"/>
      <c r="P44" s="126"/>
      <c r="Q44" s="116"/>
      <c r="R44" s="126"/>
      <c r="S44" s="126"/>
      <c r="T44" s="126"/>
      <c r="U44" s="126"/>
      <c r="V44" s="116"/>
      <c r="W44" s="126"/>
      <c r="X44" s="126"/>
      <c r="Y44" s="126"/>
      <c r="Z44" s="126"/>
      <c r="AA44" s="116"/>
      <c r="AB44" s="126"/>
      <c r="AC44" s="126"/>
      <c r="AD44" s="126"/>
      <c r="AE44" s="126"/>
      <c r="AF44" s="116"/>
      <c r="AG44" s="126"/>
      <c r="AH44" s="126"/>
      <c r="AI44" s="126"/>
      <c r="AJ44" s="126"/>
      <c r="AK44" s="116"/>
      <c r="AL44" s="116"/>
      <c r="AM44" s="116"/>
      <c r="AN44" s="116"/>
    </row>
    <row r="45" spans="1:40" ht="15" customHeight="1" x14ac:dyDescent="0.2">
      <c r="A45" s="121" t="s">
        <v>102</v>
      </c>
      <c r="G45" s="156">
        <f>SUM(C45:F45)</f>
        <v>0</v>
      </c>
      <c r="H45" s="155">
        <v>4</v>
      </c>
      <c r="I45" s="155">
        <v>0</v>
      </c>
      <c r="J45" s="155">
        <v>3</v>
      </c>
      <c r="K45" s="155">
        <v>0</v>
      </c>
      <c r="L45" s="156">
        <f>SUM(H45:K45)</f>
        <v>7</v>
      </c>
      <c r="M45" s="155">
        <v>1</v>
      </c>
      <c r="N45" s="155">
        <v>3</v>
      </c>
      <c r="O45" s="155">
        <v>5</v>
      </c>
      <c r="P45" s="155">
        <v>3</v>
      </c>
      <c r="Q45" s="156">
        <f>SUM(M45:P45)</f>
        <v>12</v>
      </c>
      <c r="R45" s="155">
        <v>5</v>
      </c>
      <c r="S45" s="155">
        <v>1</v>
      </c>
      <c r="T45" s="155">
        <v>4</v>
      </c>
      <c r="U45" s="155">
        <v>4</v>
      </c>
      <c r="V45" s="156">
        <f>SUM(R45:U45)</f>
        <v>14</v>
      </c>
      <c r="W45" s="155">
        <v>3</v>
      </c>
      <c r="X45" s="208">
        <f t="shared" ref="X45:AJ45" si="84">W45</f>
        <v>3</v>
      </c>
      <c r="Y45" s="208">
        <f t="shared" si="84"/>
        <v>3</v>
      </c>
      <c r="Z45" s="208">
        <f t="shared" si="84"/>
        <v>3</v>
      </c>
      <c r="AA45" s="156">
        <f>SUM(W45:Z45)</f>
        <v>12</v>
      </c>
      <c r="AB45" s="208">
        <f>Z45</f>
        <v>3</v>
      </c>
      <c r="AC45" s="208">
        <f t="shared" si="84"/>
        <v>3</v>
      </c>
      <c r="AD45" s="208">
        <f t="shared" si="84"/>
        <v>3</v>
      </c>
      <c r="AE45" s="208">
        <f t="shared" si="84"/>
        <v>3</v>
      </c>
      <c r="AF45" s="156">
        <f>SUM(AB45:AE45)</f>
        <v>12</v>
      </c>
      <c r="AG45" s="208">
        <f>AE45</f>
        <v>3</v>
      </c>
      <c r="AH45" s="208">
        <f t="shared" si="84"/>
        <v>3</v>
      </c>
      <c r="AI45" s="208">
        <f t="shared" si="84"/>
        <v>3</v>
      </c>
      <c r="AJ45" s="208">
        <f t="shared" si="84"/>
        <v>3</v>
      </c>
      <c r="AK45" s="156">
        <f>SUM(AG45:AJ45)</f>
        <v>12</v>
      </c>
      <c r="AL45" s="156">
        <f>AK45</f>
        <v>12</v>
      </c>
      <c r="AM45" s="156">
        <f t="shared" ref="AM45:AN45" si="85">AL45</f>
        <v>12</v>
      </c>
      <c r="AN45" s="156">
        <f t="shared" si="85"/>
        <v>12</v>
      </c>
    </row>
    <row r="46" spans="1:40" ht="15" customHeight="1" x14ac:dyDescent="0.2">
      <c r="A46" s="121" t="s">
        <v>103</v>
      </c>
      <c r="G46" s="156"/>
      <c r="H46" s="159"/>
      <c r="I46" s="159"/>
      <c r="J46" s="159"/>
      <c r="K46" s="159"/>
      <c r="L46" s="156"/>
      <c r="M46" s="159"/>
      <c r="N46" s="159"/>
      <c r="O46" s="159"/>
      <c r="P46" s="159"/>
      <c r="Q46" s="156"/>
      <c r="R46" s="159"/>
      <c r="S46" s="159"/>
      <c r="T46" s="159"/>
      <c r="U46" s="159"/>
      <c r="V46" s="156"/>
      <c r="W46" s="159"/>
      <c r="X46" s="159"/>
      <c r="Y46" s="159"/>
      <c r="Z46" s="159"/>
      <c r="AA46" s="156"/>
      <c r="AB46" s="159"/>
      <c r="AC46" s="159"/>
      <c r="AD46" s="159"/>
      <c r="AE46" s="159"/>
      <c r="AF46" s="156"/>
      <c r="AG46" s="159"/>
      <c r="AH46" s="159"/>
      <c r="AI46" s="159"/>
      <c r="AJ46" s="159"/>
      <c r="AK46" s="156"/>
      <c r="AL46" s="156"/>
      <c r="AM46" s="156"/>
      <c r="AN46" s="156"/>
    </row>
    <row r="47" spans="1:40" ht="15" customHeight="1" x14ac:dyDescent="0.2">
      <c r="A47" s="121" t="s">
        <v>104</v>
      </c>
      <c r="G47" s="156">
        <f>SUM(C47:F47)</f>
        <v>0</v>
      </c>
      <c r="H47" s="155">
        <f>4</f>
        <v>4</v>
      </c>
      <c r="I47" s="155">
        <v>5</v>
      </c>
      <c r="J47" s="155">
        <v>3</v>
      </c>
      <c r="K47" s="155">
        <v>5</v>
      </c>
      <c r="L47" s="156">
        <f>SUM(H47:K47)</f>
        <v>17</v>
      </c>
      <c r="M47" s="155">
        <v>6</v>
      </c>
      <c r="N47" s="155">
        <v>4</v>
      </c>
      <c r="O47" s="155">
        <v>7</v>
      </c>
      <c r="P47" s="155">
        <v>4</v>
      </c>
      <c r="Q47" s="156">
        <f>SUM(M47:P47)</f>
        <v>21</v>
      </c>
      <c r="R47" s="155">
        <v>6</v>
      </c>
      <c r="S47" s="155">
        <v>4</v>
      </c>
      <c r="T47" s="155">
        <v>4</v>
      </c>
      <c r="U47" s="155">
        <v>3</v>
      </c>
      <c r="V47" s="156">
        <f>SUM(R47:U47)</f>
        <v>17</v>
      </c>
      <c r="W47" s="155">
        <v>3</v>
      </c>
      <c r="X47" s="208">
        <f t="shared" ref="X47:AJ51" si="86">W47</f>
        <v>3</v>
      </c>
      <c r="Y47" s="208">
        <f t="shared" si="86"/>
        <v>3</v>
      </c>
      <c r="Z47" s="208">
        <f t="shared" si="86"/>
        <v>3</v>
      </c>
      <c r="AA47" s="156">
        <f>SUM(W47:Z47)</f>
        <v>12</v>
      </c>
      <c r="AB47" s="208">
        <f>Z47</f>
        <v>3</v>
      </c>
      <c r="AC47" s="208">
        <f t="shared" si="86"/>
        <v>3</v>
      </c>
      <c r="AD47" s="208">
        <f t="shared" si="86"/>
        <v>3</v>
      </c>
      <c r="AE47" s="208">
        <f t="shared" si="86"/>
        <v>3</v>
      </c>
      <c r="AF47" s="156">
        <f>SUM(AB47:AE47)</f>
        <v>12</v>
      </c>
      <c r="AG47" s="208">
        <f>AE47</f>
        <v>3</v>
      </c>
      <c r="AH47" s="208">
        <f t="shared" si="86"/>
        <v>3</v>
      </c>
      <c r="AI47" s="208">
        <f t="shared" si="86"/>
        <v>3</v>
      </c>
      <c r="AJ47" s="208">
        <f t="shared" si="86"/>
        <v>3</v>
      </c>
      <c r="AK47" s="156">
        <f>SUM(AG47:AJ47)</f>
        <v>12</v>
      </c>
      <c r="AL47" s="156">
        <f>AK47</f>
        <v>12</v>
      </c>
      <c r="AM47" s="156">
        <f t="shared" ref="AM47:AN47" si="87">AL47</f>
        <v>12</v>
      </c>
      <c r="AN47" s="156">
        <f t="shared" si="87"/>
        <v>12</v>
      </c>
    </row>
    <row r="48" spans="1:40" ht="15" customHeight="1" x14ac:dyDescent="0.2">
      <c r="A48" s="121" t="s">
        <v>105</v>
      </c>
      <c r="G48" s="156"/>
      <c r="H48" s="159"/>
      <c r="I48" s="159"/>
      <c r="J48" s="159"/>
      <c r="K48" s="159"/>
      <c r="L48" s="156"/>
      <c r="M48" s="159"/>
      <c r="N48" s="159"/>
      <c r="O48" s="159"/>
      <c r="P48" s="159"/>
      <c r="Q48" s="156"/>
      <c r="R48" s="159"/>
      <c r="S48" s="159"/>
      <c r="T48" s="159"/>
      <c r="U48" s="159"/>
      <c r="V48" s="156"/>
      <c r="W48" s="159"/>
      <c r="X48" s="159"/>
      <c r="Y48" s="159"/>
      <c r="Z48" s="159"/>
      <c r="AA48" s="156"/>
      <c r="AB48" s="159"/>
      <c r="AC48" s="159"/>
      <c r="AD48" s="159"/>
      <c r="AE48" s="159"/>
      <c r="AF48" s="156"/>
      <c r="AG48" s="159"/>
      <c r="AH48" s="159"/>
      <c r="AI48" s="159"/>
      <c r="AJ48" s="159"/>
      <c r="AK48" s="156"/>
      <c r="AL48" s="156"/>
      <c r="AM48" s="156"/>
      <c r="AN48" s="156"/>
    </row>
    <row r="49" spans="1:40" ht="15" customHeight="1" x14ac:dyDescent="0.2">
      <c r="A49" s="121" t="s">
        <v>106</v>
      </c>
      <c r="G49" s="156">
        <f t="shared" ref="G49:G51" si="88">SUM(C49:F49)</f>
        <v>0</v>
      </c>
      <c r="H49" s="155">
        <f>10+18</f>
        <v>28</v>
      </c>
      <c r="I49" s="155">
        <f>2+14</f>
        <v>16</v>
      </c>
      <c r="J49" s="155">
        <f>9+18</f>
        <v>27</v>
      </c>
      <c r="K49" s="155">
        <f>7+12</f>
        <v>19</v>
      </c>
      <c r="L49" s="156">
        <f t="shared" ref="L49:L51" si="89">SUM(H49:K49)</f>
        <v>90</v>
      </c>
      <c r="M49" s="155">
        <f>1+8</f>
        <v>9</v>
      </c>
      <c r="N49" s="155">
        <f>9+15</f>
        <v>24</v>
      </c>
      <c r="O49" s="155">
        <f>6+16</f>
        <v>22</v>
      </c>
      <c r="P49" s="155">
        <f>4+11</f>
        <v>15</v>
      </c>
      <c r="Q49" s="156">
        <f t="shared" ref="Q49:Q51" si="90">SUM(M49:P49)</f>
        <v>70</v>
      </c>
      <c r="R49" s="155">
        <f>8+14</f>
        <v>22</v>
      </c>
      <c r="S49" s="155">
        <f>7+15</f>
        <v>22</v>
      </c>
      <c r="T49" s="155">
        <f>6+13</f>
        <v>19</v>
      </c>
      <c r="U49" s="155">
        <f>7+8</f>
        <v>15</v>
      </c>
      <c r="V49" s="156">
        <f t="shared" ref="V49:V51" si="91">SUM(R49:U49)</f>
        <v>78</v>
      </c>
      <c r="W49" s="155">
        <f>5+14</f>
        <v>19</v>
      </c>
      <c r="X49" s="208">
        <f t="shared" si="86"/>
        <v>19</v>
      </c>
      <c r="Y49" s="208">
        <f t="shared" si="86"/>
        <v>19</v>
      </c>
      <c r="Z49" s="208">
        <f t="shared" si="86"/>
        <v>19</v>
      </c>
      <c r="AA49" s="156">
        <f t="shared" ref="AA49:AA51" si="92">SUM(W49:Z49)</f>
        <v>76</v>
      </c>
      <c r="AB49" s="208">
        <f>Z49</f>
        <v>19</v>
      </c>
      <c r="AC49" s="208">
        <f t="shared" si="86"/>
        <v>19</v>
      </c>
      <c r="AD49" s="208">
        <f t="shared" si="86"/>
        <v>19</v>
      </c>
      <c r="AE49" s="208">
        <f t="shared" si="86"/>
        <v>19</v>
      </c>
      <c r="AF49" s="156">
        <f t="shared" ref="AF49:AF51" si="93">SUM(AB49:AE49)</f>
        <v>76</v>
      </c>
      <c r="AG49" s="208">
        <f>AE49</f>
        <v>19</v>
      </c>
      <c r="AH49" s="208">
        <f t="shared" si="86"/>
        <v>19</v>
      </c>
      <c r="AI49" s="208">
        <f t="shared" si="86"/>
        <v>19</v>
      </c>
      <c r="AJ49" s="208">
        <f t="shared" si="86"/>
        <v>19</v>
      </c>
      <c r="AK49" s="156">
        <f t="shared" ref="AK49:AK51" si="94">SUM(AG49:AJ49)</f>
        <v>76</v>
      </c>
      <c r="AL49" s="156">
        <f t="shared" ref="AL49:AN51" si="95">AK49</f>
        <v>76</v>
      </c>
      <c r="AM49" s="156">
        <f t="shared" si="95"/>
        <v>76</v>
      </c>
      <c r="AN49" s="156">
        <f t="shared" si="95"/>
        <v>76</v>
      </c>
    </row>
    <row r="50" spans="1:40" ht="15" customHeight="1" x14ac:dyDescent="0.2">
      <c r="A50" s="121" t="s">
        <v>107</v>
      </c>
      <c r="G50" s="156">
        <f t="shared" si="88"/>
        <v>0</v>
      </c>
      <c r="H50" s="155">
        <f>134/4</f>
        <v>33.5</v>
      </c>
      <c r="I50" s="155">
        <f t="shared" ref="I50:J50" si="96">J50</f>
        <v>30</v>
      </c>
      <c r="J50" s="155">
        <f t="shared" si="96"/>
        <v>30</v>
      </c>
      <c r="K50" s="155">
        <f>M50</f>
        <v>30</v>
      </c>
      <c r="L50" s="156">
        <f t="shared" si="89"/>
        <v>123.5</v>
      </c>
      <c r="M50" s="155">
        <f>120/4</f>
        <v>30</v>
      </c>
      <c r="N50" s="155">
        <f t="shared" ref="N50:O50" si="97">O50</f>
        <v>35.5</v>
      </c>
      <c r="O50" s="155">
        <f t="shared" si="97"/>
        <v>35.5</v>
      </c>
      <c r="P50" s="155">
        <f>R50</f>
        <v>35.5</v>
      </c>
      <c r="Q50" s="156">
        <f t="shared" si="90"/>
        <v>136.5</v>
      </c>
      <c r="R50" s="155">
        <f>142/4</f>
        <v>35.5</v>
      </c>
      <c r="S50" s="155">
        <f>T50</f>
        <v>35.25</v>
      </c>
      <c r="T50" s="155">
        <f>U50</f>
        <v>35.25</v>
      </c>
      <c r="U50" s="155">
        <f>W50</f>
        <v>35.25</v>
      </c>
      <c r="V50" s="156">
        <f t="shared" si="91"/>
        <v>141.25</v>
      </c>
      <c r="W50" s="155">
        <f>141/4</f>
        <v>35.25</v>
      </c>
      <c r="X50" s="208">
        <f>'F35 lots'!G7/4</f>
        <v>37.5</v>
      </c>
      <c r="Y50" s="208">
        <f>X50</f>
        <v>37.5</v>
      </c>
      <c r="Z50" s="208">
        <f t="shared" ref="Z50" si="98">Y50</f>
        <v>37.5</v>
      </c>
      <c r="AA50" s="156">
        <f t="shared" si="92"/>
        <v>147.75</v>
      </c>
      <c r="AB50" s="208">
        <f>Z50</f>
        <v>37.5</v>
      </c>
      <c r="AC50" s="208">
        <f>'F35 lots'!H7/4</f>
        <v>37.5</v>
      </c>
      <c r="AD50" s="208">
        <f>AC50</f>
        <v>37.5</v>
      </c>
      <c r="AE50" s="208">
        <f t="shared" ref="AE50" si="99">AD50</f>
        <v>37.5</v>
      </c>
      <c r="AF50" s="156">
        <f t="shared" si="93"/>
        <v>150</v>
      </c>
      <c r="AG50" s="208">
        <f>AE50</f>
        <v>37.5</v>
      </c>
      <c r="AH50" s="208">
        <f>'F35 lots'!I7/4</f>
        <v>39</v>
      </c>
      <c r="AI50" s="208">
        <f>AH50</f>
        <v>39</v>
      </c>
      <c r="AJ50" s="208">
        <f t="shared" ref="AJ50" si="100">AI50</f>
        <v>39</v>
      </c>
      <c r="AK50" s="156">
        <f t="shared" si="94"/>
        <v>154.5</v>
      </c>
      <c r="AL50" s="156">
        <f t="shared" si="95"/>
        <v>154.5</v>
      </c>
      <c r="AM50" s="156">
        <f t="shared" si="95"/>
        <v>154.5</v>
      </c>
      <c r="AN50" s="156">
        <f t="shared" si="95"/>
        <v>154.5</v>
      </c>
    </row>
    <row r="51" spans="1:40" ht="15" customHeight="1" x14ac:dyDescent="0.2">
      <c r="A51" s="121" t="s">
        <v>108</v>
      </c>
      <c r="G51" s="156">
        <f t="shared" si="88"/>
        <v>0</v>
      </c>
      <c r="H51" s="155">
        <v>4</v>
      </c>
      <c r="I51" s="155">
        <v>5</v>
      </c>
      <c r="J51" s="155">
        <v>1</v>
      </c>
      <c r="K51" s="155">
        <v>1</v>
      </c>
      <c r="L51" s="156">
        <f t="shared" si="89"/>
        <v>11</v>
      </c>
      <c r="M51" s="155">
        <v>7</v>
      </c>
      <c r="N51" s="155">
        <v>2</v>
      </c>
      <c r="O51" s="155">
        <v>2</v>
      </c>
      <c r="P51" s="155">
        <v>3</v>
      </c>
      <c r="Q51" s="156">
        <f t="shared" si="90"/>
        <v>14</v>
      </c>
      <c r="R51" s="155">
        <v>6</v>
      </c>
      <c r="S51" s="155">
        <v>4</v>
      </c>
      <c r="T51" s="155">
        <v>4</v>
      </c>
      <c r="U51" s="155">
        <v>1</v>
      </c>
      <c r="V51" s="156">
        <f t="shared" si="91"/>
        <v>15</v>
      </c>
      <c r="W51" s="155">
        <v>6</v>
      </c>
      <c r="X51" s="208">
        <f t="shared" si="86"/>
        <v>6</v>
      </c>
      <c r="Y51" s="208">
        <f t="shared" si="86"/>
        <v>6</v>
      </c>
      <c r="Z51" s="208">
        <f t="shared" si="86"/>
        <v>6</v>
      </c>
      <c r="AA51" s="156">
        <f t="shared" si="92"/>
        <v>24</v>
      </c>
      <c r="AB51" s="208">
        <f>Z51</f>
        <v>6</v>
      </c>
      <c r="AC51" s="208">
        <f t="shared" si="86"/>
        <v>6</v>
      </c>
      <c r="AD51" s="208">
        <f t="shared" si="86"/>
        <v>6</v>
      </c>
      <c r="AE51" s="208">
        <f t="shared" si="86"/>
        <v>6</v>
      </c>
      <c r="AF51" s="156">
        <f t="shared" si="93"/>
        <v>24</v>
      </c>
      <c r="AG51" s="208">
        <f>AE51</f>
        <v>6</v>
      </c>
      <c r="AH51" s="208">
        <f t="shared" si="86"/>
        <v>6</v>
      </c>
      <c r="AI51" s="208">
        <f t="shared" si="86"/>
        <v>6</v>
      </c>
      <c r="AJ51" s="208">
        <f t="shared" si="86"/>
        <v>6</v>
      </c>
      <c r="AK51" s="156">
        <f t="shared" si="94"/>
        <v>24</v>
      </c>
      <c r="AL51" s="156">
        <f t="shared" si="95"/>
        <v>24</v>
      </c>
      <c r="AM51" s="156">
        <f t="shared" si="95"/>
        <v>24</v>
      </c>
      <c r="AN51" s="156">
        <f t="shared" si="95"/>
        <v>24</v>
      </c>
    </row>
    <row r="52" spans="1:40" ht="15" customHeight="1" x14ac:dyDescent="0.2">
      <c r="A52" s="121" t="s">
        <v>109</v>
      </c>
      <c r="G52" s="156"/>
      <c r="H52" s="159"/>
      <c r="I52" s="159"/>
      <c r="J52" s="159"/>
      <c r="K52" s="159"/>
      <c r="L52" s="156"/>
      <c r="M52" s="159"/>
      <c r="N52" s="159"/>
      <c r="O52" s="159"/>
      <c r="P52" s="159"/>
      <c r="Q52" s="156"/>
      <c r="R52" s="159"/>
      <c r="S52" s="159"/>
      <c r="T52" s="159"/>
      <c r="U52" s="159"/>
      <c r="V52" s="156"/>
      <c r="W52" s="159"/>
      <c r="X52" s="159"/>
      <c r="Y52" s="159"/>
      <c r="Z52" s="159"/>
      <c r="AA52" s="156"/>
      <c r="AB52" s="159"/>
      <c r="AC52" s="159"/>
      <c r="AD52" s="159"/>
      <c r="AE52" s="159"/>
      <c r="AF52" s="156"/>
      <c r="AG52" s="159"/>
      <c r="AH52" s="159"/>
      <c r="AI52" s="159"/>
      <c r="AJ52" s="159"/>
      <c r="AK52" s="156"/>
      <c r="AL52" s="156"/>
      <c r="AM52" s="156"/>
      <c r="AN52" s="156"/>
    </row>
    <row r="53" spans="1:40" ht="15" customHeight="1" x14ac:dyDescent="0.2">
      <c r="A53" s="121" t="s">
        <v>110</v>
      </c>
      <c r="G53" s="156"/>
      <c r="H53" s="159"/>
      <c r="I53" s="159"/>
      <c r="J53" s="159"/>
      <c r="K53" s="159"/>
      <c r="L53" s="156"/>
      <c r="M53" s="159"/>
      <c r="N53" s="159"/>
      <c r="O53" s="159"/>
      <c r="P53" s="159"/>
      <c r="Q53" s="156"/>
      <c r="R53" s="159"/>
      <c r="S53" s="159"/>
      <c r="T53" s="159"/>
      <c r="U53" s="159"/>
      <c r="V53" s="156"/>
      <c r="W53" s="159"/>
      <c r="X53" s="159"/>
      <c r="Y53" s="159"/>
      <c r="Z53" s="159"/>
      <c r="AA53" s="156"/>
      <c r="AB53" s="159"/>
      <c r="AC53" s="159"/>
      <c r="AD53" s="159"/>
      <c r="AE53" s="159"/>
      <c r="AF53" s="156"/>
      <c r="AG53" s="159"/>
      <c r="AH53" s="159"/>
      <c r="AI53" s="159"/>
      <c r="AJ53" s="159"/>
      <c r="AK53" s="156"/>
      <c r="AL53" s="156"/>
      <c r="AM53" s="156"/>
      <c r="AN53" s="156"/>
    </row>
    <row r="54" spans="1:40" ht="15" customHeight="1" x14ac:dyDescent="0.2">
      <c r="A54" s="12" t="s">
        <v>65</v>
      </c>
      <c r="B54" s="12"/>
      <c r="C54" s="12"/>
      <c r="D54" s="12"/>
      <c r="E54" s="12"/>
      <c r="F54" s="12"/>
      <c r="G54" s="143">
        <f>SUM(G45:G53)</f>
        <v>0</v>
      </c>
      <c r="H54" s="34">
        <f t="shared" ref="H54:AN54" si="101">SUM(H45:H53)</f>
        <v>73.5</v>
      </c>
      <c r="I54" s="34">
        <f t="shared" si="101"/>
        <v>56</v>
      </c>
      <c r="J54" s="34">
        <f t="shared" si="101"/>
        <v>64</v>
      </c>
      <c r="K54" s="34">
        <f t="shared" si="101"/>
        <v>55</v>
      </c>
      <c r="L54" s="143">
        <f>SUM(L45:L53)</f>
        <v>248.5</v>
      </c>
      <c r="M54" s="34">
        <f t="shared" si="101"/>
        <v>53</v>
      </c>
      <c r="N54" s="34">
        <f t="shared" si="101"/>
        <v>68.5</v>
      </c>
      <c r="O54" s="34">
        <f t="shared" si="101"/>
        <v>71.5</v>
      </c>
      <c r="P54" s="34">
        <f t="shared" si="101"/>
        <v>60.5</v>
      </c>
      <c r="Q54" s="143">
        <f>SUM(Q45:Q53)</f>
        <v>253.5</v>
      </c>
      <c r="R54" s="34">
        <f t="shared" si="101"/>
        <v>74.5</v>
      </c>
      <c r="S54" s="34">
        <f t="shared" si="101"/>
        <v>66.25</v>
      </c>
      <c r="T54" s="34">
        <f t="shared" si="101"/>
        <v>66.25</v>
      </c>
      <c r="U54" s="34">
        <f t="shared" si="101"/>
        <v>58.25</v>
      </c>
      <c r="V54" s="143">
        <f>SUM(V45:V53)</f>
        <v>265.25</v>
      </c>
      <c r="W54" s="34">
        <f t="shared" si="101"/>
        <v>66.25</v>
      </c>
      <c r="X54" s="34">
        <f t="shared" si="101"/>
        <v>68.5</v>
      </c>
      <c r="Y54" s="34">
        <f t="shared" si="101"/>
        <v>68.5</v>
      </c>
      <c r="Z54" s="34">
        <f t="shared" si="101"/>
        <v>68.5</v>
      </c>
      <c r="AA54" s="143">
        <f>SUM(AA45:AA53)</f>
        <v>271.75</v>
      </c>
      <c r="AB54" s="34">
        <f t="shared" si="101"/>
        <v>68.5</v>
      </c>
      <c r="AC54" s="34">
        <f t="shared" si="101"/>
        <v>68.5</v>
      </c>
      <c r="AD54" s="34">
        <f t="shared" si="101"/>
        <v>68.5</v>
      </c>
      <c r="AE54" s="34">
        <f t="shared" si="101"/>
        <v>68.5</v>
      </c>
      <c r="AF54" s="143">
        <f>SUM(AF45:AF53)</f>
        <v>274</v>
      </c>
      <c r="AG54" s="34">
        <f t="shared" si="101"/>
        <v>68.5</v>
      </c>
      <c r="AH54" s="34">
        <f t="shared" si="101"/>
        <v>70</v>
      </c>
      <c r="AI54" s="34">
        <f t="shared" si="101"/>
        <v>70</v>
      </c>
      <c r="AJ54" s="34">
        <f t="shared" si="101"/>
        <v>70</v>
      </c>
      <c r="AK54" s="143">
        <f>SUM(AK45:AK53)</f>
        <v>278.5</v>
      </c>
      <c r="AL54" s="143">
        <f t="shared" si="101"/>
        <v>278.5</v>
      </c>
      <c r="AM54" s="143">
        <f t="shared" si="101"/>
        <v>278.5</v>
      </c>
      <c r="AN54" s="143">
        <f t="shared" si="101"/>
        <v>278.5</v>
      </c>
    </row>
    <row r="55" spans="1:40" ht="15" customHeight="1" x14ac:dyDescent="0.2">
      <c r="G55" s="156"/>
      <c r="H55" s="155"/>
      <c r="I55" s="155"/>
      <c r="J55" s="155"/>
      <c r="K55" s="155"/>
      <c r="L55" s="156"/>
      <c r="M55" s="155"/>
      <c r="N55" s="155"/>
      <c r="O55" s="155"/>
      <c r="P55" s="155"/>
      <c r="Q55" s="156"/>
      <c r="R55" s="155"/>
      <c r="S55" s="155"/>
      <c r="T55" s="155"/>
      <c r="U55" s="155"/>
      <c r="V55" s="156"/>
      <c r="W55" s="155"/>
      <c r="X55" s="155"/>
      <c r="Y55" s="155"/>
      <c r="Z55" s="155"/>
      <c r="AA55" s="156"/>
      <c r="AB55" s="155"/>
      <c r="AC55" s="155"/>
      <c r="AD55" s="155"/>
      <c r="AE55" s="155"/>
      <c r="AF55" s="156"/>
      <c r="AG55" s="155"/>
      <c r="AH55" s="155"/>
      <c r="AI55" s="155"/>
      <c r="AJ55" s="155"/>
      <c r="AK55" s="156"/>
      <c r="AL55" s="156"/>
      <c r="AM55" s="156"/>
      <c r="AN55" s="156"/>
    </row>
    <row r="56" spans="1:40" ht="15" customHeight="1" x14ac:dyDescent="0.2">
      <c r="A56" s="3" t="s">
        <v>402</v>
      </c>
      <c r="B56" s="3" t="s">
        <v>403</v>
      </c>
      <c r="C56" s="3"/>
      <c r="D56" s="3"/>
      <c r="E56" s="3"/>
      <c r="F56" s="3"/>
      <c r="G56" s="115"/>
      <c r="H56" s="3"/>
      <c r="I56" s="3"/>
      <c r="J56" s="3"/>
      <c r="K56" s="3"/>
      <c r="L56" s="115"/>
      <c r="M56" s="3"/>
      <c r="N56" s="3"/>
      <c r="O56" s="3"/>
      <c r="P56" s="3"/>
      <c r="Q56" s="115"/>
      <c r="R56" s="3"/>
      <c r="S56" s="3"/>
      <c r="T56" s="3"/>
      <c r="U56" s="3"/>
      <c r="V56" s="115"/>
      <c r="W56" s="3"/>
      <c r="X56" s="3"/>
      <c r="Y56" s="3"/>
      <c r="Z56" s="3"/>
      <c r="AA56" s="115"/>
      <c r="AB56" s="3"/>
      <c r="AC56" s="3"/>
      <c r="AD56" s="3"/>
      <c r="AE56" s="3"/>
      <c r="AF56" s="115"/>
      <c r="AG56" s="3"/>
      <c r="AH56" s="3"/>
      <c r="AI56" s="3"/>
      <c r="AJ56" s="3"/>
      <c r="AK56" s="115"/>
      <c r="AL56" s="115"/>
      <c r="AM56" s="115"/>
      <c r="AN56" s="115"/>
    </row>
    <row r="57" spans="1:40" ht="15" customHeight="1" x14ac:dyDescent="0.2">
      <c r="A57" s="4" t="s">
        <v>13</v>
      </c>
      <c r="B57" s="4"/>
      <c r="C57" s="4"/>
      <c r="D57" s="4"/>
      <c r="E57" s="4"/>
      <c r="F57" s="4"/>
      <c r="G57" s="116"/>
      <c r="H57" s="4"/>
      <c r="I57" s="4"/>
      <c r="J57" s="4"/>
      <c r="K57" s="4"/>
      <c r="L57" s="116"/>
      <c r="M57" s="4"/>
      <c r="N57" s="4"/>
      <c r="O57" s="4"/>
      <c r="P57" s="4"/>
      <c r="Q57" s="116"/>
      <c r="R57" s="4"/>
      <c r="S57" s="4"/>
      <c r="T57" s="4"/>
      <c r="U57" s="4"/>
      <c r="V57" s="116"/>
      <c r="W57" s="4"/>
      <c r="X57" s="4"/>
      <c r="Y57" s="4"/>
      <c r="Z57" s="4"/>
      <c r="AA57" s="116"/>
      <c r="AB57" s="4"/>
      <c r="AC57" s="4"/>
      <c r="AD57" s="4"/>
      <c r="AE57" s="4"/>
      <c r="AF57" s="116"/>
      <c r="AG57" s="4"/>
      <c r="AH57" s="4"/>
      <c r="AI57" s="4"/>
      <c r="AJ57" s="4"/>
      <c r="AK57" s="116"/>
      <c r="AL57" s="116"/>
      <c r="AM57" s="116"/>
      <c r="AN57" s="116"/>
    </row>
    <row r="58" spans="1:40" ht="15" customHeight="1" x14ac:dyDescent="0.2">
      <c r="A58" s="121" t="s">
        <v>14</v>
      </c>
      <c r="B58" s="129">
        <v>0.125</v>
      </c>
      <c r="C58" s="155">
        <f t="shared" ref="C58:F58" si="102">$B58*C14</f>
        <v>12.625</v>
      </c>
      <c r="D58" s="155">
        <f t="shared" si="102"/>
        <v>3.5</v>
      </c>
      <c r="E58" s="155">
        <f t="shared" si="102"/>
        <v>0.125</v>
      </c>
      <c r="F58" s="155">
        <f t="shared" si="102"/>
        <v>2.125</v>
      </c>
      <c r="G58" s="156">
        <f>SUM(C58:F58)</f>
        <v>18.375</v>
      </c>
      <c r="H58" s="155">
        <f>$B58*H14</f>
        <v>2.875</v>
      </c>
      <c r="I58" s="155">
        <f>$B58*I14</f>
        <v>1.375</v>
      </c>
      <c r="J58" s="155">
        <f>$B58*J14</f>
        <v>0.375</v>
      </c>
      <c r="K58" s="155">
        <f>$B58*K14</f>
        <v>0.25</v>
      </c>
      <c r="L58" s="156">
        <f>SUM(H58:K58)</f>
        <v>4.875</v>
      </c>
      <c r="M58" s="155">
        <f>$B58*M14</f>
        <v>0</v>
      </c>
      <c r="N58" s="155">
        <f>$B58*N14</f>
        <v>2</v>
      </c>
      <c r="O58" s="155">
        <f>$B58*O14</f>
        <v>0</v>
      </c>
      <c r="P58" s="155">
        <f>$B58*P14</f>
        <v>0</v>
      </c>
      <c r="Q58" s="156">
        <f>SUM(M58:P58)</f>
        <v>2</v>
      </c>
      <c r="R58" s="155">
        <f>$B58*R14</f>
        <v>0</v>
      </c>
      <c r="S58" s="155">
        <f>$B58*S14</f>
        <v>1.5</v>
      </c>
      <c r="T58" s="155">
        <f>$B58*T14</f>
        <v>0</v>
      </c>
      <c r="U58" s="155">
        <f>$B58*U14</f>
        <v>0</v>
      </c>
      <c r="V58" s="156">
        <f>SUM(R58:U58)</f>
        <v>1.5</v>
      </c>
      <c r="W58" s="155">
        <f>$B58*W14</f>
        <v>0</v>
      </c>
      <c r="X58" s="155">
        <f t="shared" ref="X58:Z58" si="103">$B58*X14</f>
        <v>0.375</v>
      </c>
      <c r="Y58" s="155">
        <f t="shared" si="103"/>
        <v>0.375</v>
      </c>
      <c r="Z58" s="155">
        <f t="shared" si="103"/>
        <v>0.375</v>
      </c>
      <c r="AA58" s="156">
        <f>SUM(W58:Z58)</f>
        <v>1.125</v>
      </c>
      <c r="AB58" s="155">
        <f t="shared" ref="AB58:AE58" si="104">$B58*AB14</f>
        <v>0.375</v>
      </c>
      <c r="AC58" s="155">
        <f t="shared" si="104"/>
        <v>0.375</v>
      </c>
      <c r="AD58" s="155">
        <f t="shared" si="104"/>
        <v>0.375</v>
      </c>
      <c r="AE58" s="155">
        <f t="shared" si="104"/>
        <v>0.1875</v>
      </c>
      <c r="AF58" s="156">
        <f>SUM(AB58:AE58)</f>
        <v>1.3125</v>
      </c>
      <c r="AG58" s="155">
        <f t="shared" ref="AG58:AJ58" si="105">$B58*AG14</f>
        <v>0.1875</v>
      </c>
      <c r="AH58" s="155">
        <f t="shared" si="105"/>
        <v>0.1875</v>
      </c>
      <c r="AI58" s="155">
        <f t="shared" si="105"/>
        <v>0.1875</v>
      </c>
      <c r="AJ58" s="155">
        <f t="shared" si="105"/>
        <v>0.1875</v>
      </c>
      <c r="AK58" s="156">
        <f t="shared" ref="AK58:AN58" si="106">$B58*AK14</f>
        <v>0.75</v>
      </c>
      <c r="AL58" s="156">
        <f t="shared" si="106"/>
        <v>0</v>
      </c>
      <c r="AM58" s="156">
        <f t="shared" si="106"/>
        <v>0</v>
      </c>
      <c r="AN58" s="156">
        <f t="shared" si="106"/>
        <v>0</v>
      </c>
    </row>
    <row r="59" spans="1:40" ht="15" customHeight="1" x14ac:dyDescent="0.2">
      <c r="A59" s="121" t="s">
        <v>15</v>
      </c>
      <c r="B59" s="129">
        <v>0.27500000000000002</v>
      </c>
      <c r="C59" s="155">
        <f t="shared" ref="C59:F59" si="107">$B59*C15</f>
        <v>26.950000000000003</v>
      </c>
      <c r="D59" s="155">
        <f t="shared" si="107"/>
        <v>3.0250000000000004</v>
      </c>
      <c r="E59" s="155">
        <f t="shared" si="107"/>
        <v>2.75</v>
      </c>
      <c r="F59" s="155">
        <f t="shared" si="107"/>
        <v>4.125</v>
      </c>
      <c r="G59" s="156">
        <f t="shared" ref="G59:G64" si="108">SUM(C59:F59)</f>
        <v>36.85</v>
      </c>
      <c r="H59" s="155">
        <f>$B59*H15</f>
        <v>5.7750000000000004</v>
      </c>
      <c r="I59" s="155">
        <f>$B59*I15</f>
        <v>2.75</v>
      </c>
      <c r="J59" s="155">
        <f>$B59*J15</f>
        <v>1.375</v>
      </c>
      <c r="K59" s="155">
        <f>$B59*K15</f>
        <v>1.375</v>
      </c>
      <c r="L59" s="156">
        <f t="shared" ref="L59:L64" si="109">SUM(H59:K59)</f>
        <v>11.275</v>
      </c>
      <c r="M59" s="155">
        <f>$B59*M15</f>
        <v>1.9250000000000003</v>
      </c>
      <c r="N59" s="155">
        <f>$B59*N15</f>
        <v>14.850000000000001</v>
      </c>
      <c r="O59" s="155">
        <f>$B59*O15</f>
        <v>12.65</v>
      </c>
      <c r="P59" s="155">
        <f>$B59*P15</f>
        <v>11.275</v>
      </c>
      <c r="Q59" s="156">
        <f t="shared" ref="Q59:Q64" si="110">SUM(M59:P59)</f>
        <v>40.700000000000003</v>
      </c>
      <c r="R59" s="155">
        <f>$B59*R15</f>
        <v>28.6</v>
      </c>
      <c r="S59" s="155">
        <f>$B59*S15</f>
        <v>27.225000000000001</v>
      </c>
      <c r="T59" s="155">
        <f>$B59*T15</f>
        <v>24.200000000000003</v>
      </c>
      <c r="U59" s="155">
        <f>$B59*U15</f>
        <v>21.725000000000001</v>
      </c>
      <c r="V59" s="156">
        <f t="shared" ref="V59:V64" si="111">SUM(R59:U59)</f>
        <v>101.75</v>
      </c>
      <c r="W59" s="155">
        <f>$B59*W15</f>
        <v>29.700000000000003</v>
      </c>
      <c r="X59" s="155">
        <f t="shared" ref="X59:Z59" si="112">$B59*X15</f>
        <v>18.975000000000001</v>
      </c>
      <c r="Y59" s="155">
        <f t="shared" si="112"/>
        <v>18.975000000000001</v>
      </c>
      <c r="Z59" s="155">
        <f t="shared" si="112"/>
        <v>22.275000000000002</v>
      </c>
      <c r="AA59" s="156">
        <f t="shared" ref="AA59:AA64" si="113">SUM(W59:Z59)</f>
        <v>89.925000000000011</v>
      </c>
      <c r="AB59" s="155">
        <f t="shared" ref="AB59:AE59" si="114">$B59*AB15</f>
        <v>22.275000000000002</v>
      </c>
      <c r="AC59" s="155">
        <f t="shared" si="114"/>
        <v>24.750000000000004</v>
      </c>
      <c r="AD59" s="155">
        <f t="shared" si="114"/>
        <v>28.05</v>
      </c>
      <c r="AE59" s="155">
        <f t="shared" si="114"/>
        <v>30.937500000000004</v>
      </c>
      <c r="AF59" s="156">
        <f t="shared" ref="AF59:AF64" si="115">SUM(AB59:AE59)</f>
        <v>106.0125</v>
      </c>
      <c r="AG59" s="155">
        <f t="shared" ref="AG59:AJ59" si="116">$B59*AG15</f>
        <v>30.937500000000004</v>
      </c>
      <c r="AH59" s="155">
        <f t="shared" si="116"/>
        <v>30.937500000000004</v>
      </c>
      <c r="AI59" s="155">
        <f t="shared" si="116"/>
        <v>34.237500000000004</v>
      </c>
      <c r="AJ59" s="155">
        <f t="shared" si="116"/>
        <v>38.362500000000004</v>
      </c>
      <c r="AK59" s="156">
        <f t="shared" ref="AK59:AN59" si="117">$B59*AK15</f>
        <v>134.47500000000002</v>
      </c>
      <c r="AL59" s="156">
        <f t="shared" si="117"/>
        <v>163.35000000000002</v>
      </c>
      <c r="AM59" s="156">
        <f t="shared" si="117"/>
        <v>163.35000000000002</v>
      </c>
      <c r="AN59" s="156">
        <f t="shared" si="117"/>
        <v>163.35000000000002</v>
      </c>
    </row>
    <row r="60" spans="1:40" ht="15" customHeight="1" x14ac:dyDescent="0.2">
      <c r="A60" s="121" t="s">
        <v>16</v>
      </c>
      <c r="B60" s="129">
        <v>2.5000000000000001E-2</v>
      </c>
      <c r="C60" s="155">
        <f t="shared" ref="C60:F60" si="118">$B60*C16</f>
        <v>0.1</v>
      </c>
      <c r="D60" s="155">
        <f t="shared" si="118"/>
        <v>0.27500000000000002</v>
      </c>
      <c r="E60" s="155">
        <f t="shared" si="118"/>
        <v>0.125</v>
      </c>
      <c r="F60" s="155">
        <f t="shared" si="118"/>
        <v>0.67500000000000004</v>
      </c>
      <c r="G60" s="156">
        <f t="shared" si="108"/>
        <v>1.175</v>
      </c>
      <c r="H60" s="155">
        <f>$B60*H16</f>
        <v>0</v>
      </c>
      <c r="I60" s="155">
        <f>$B60*I16</f>
        <v>0.125</v>
      </c>
      <c r="J60" s="155">
        <f>$B60*J16</f>
        <v>0.2</v>
      </c>
      <c r="K60" s="155">
        <f>$B60*K16</f>
        <v>0.42500000000000004</v>
      </c>
      <c r="L60" s="156">
        <f t="shared" si="109"/>
        <v>0.75</v>
      </c>
      <c r="M60" s="155">
        <f>$B60*M16</f>
        <v>0</v>
      </c>
      <c r="N60" s="155">
        <f>$B60*N16</f>
        <v>7.5000000000000011E-2</v>
      </c>
      <c r="O60" s="155">
        <f>$B60*O16</f>
        <v>0.17500000000000002</v>
      </c>
      <c r="P60" s="155">
        <f>$B60*P16</f>
        <v>0.5</v>
      </c>
      <c r="Q60" s="156">
        <f t="shared" si="110"/>
        <v>0.75</v>
      </c>
      <c r="R60" s="155">
        <f>$B60*R16</f>
        <v>0.05</v>
      </c>
      <c r="S60" s="155">
        <f>$B60*S16</f>
        <v>0.22500000000000001</v>
      </c>
      <c r="T60" s="155">
        <f>$B60*T16</f>
        <v>0.2</v>
      </c>
      <c r="U60" s="155">
        <f>$B60*U16</f>
        <v>0.4</v>
      </c>
      <c r="V60" s="156">
        <f t="shared" si="111"/>
        <v>0.875</v>
      </c>
      <c r="W60" s="155">
        <f>$B60*W16</f>
        <v>0</v>
      </c>
      <c r="X60" s="155">
        <f t="shared" ref="X60:Z60" si="119">$B60*X16</f>
        <v>0.22500000000000001</v>
      </c>
      <c r="Y60" s="155">
        <f t="shared" si="119"/>
        <v>0.22500000000000001</v>
      </c>
      <c r="Z60" s="155">
        <f t="shared" si="119"/>
        <v>0.22500000000000001</v>
      </c>
      <c r="AA60" s="156">
        <f t="shared" si="113"/>
        <v>0.67500000000000004</v>
      </c>
      <c r="AB60" s="155">
        <f t="shared" ref="AB60:AE60" si="120">$B60*AB16</f>
        <v>0.22500000000000001</v>
      </c>
      <c r="AC60" s="155">
        <f t="shared" si="120"/>
        <v>0.22500000000000001</v>
      </c>
      <c r="AD60" s="155">
        <f t="shared" si="120"/>
        <v>0.22500000000000001</v>
      </c>
      <c r="AE60" s="155">
        <f t="shared" si="120"/>
        <v>0.22500000000000001</v>
      </c>
      <c r="AF60" s="156">
        <f t="shared" si="115"/>
        <v>0.9</v>
      </c>
      <c r="AG60" s="155">
        <f t="shared" ref="AG60:AJ60" si="121">$B60*AG16</f>
        <v>0.22500000000000001</v>
      </c>
      <c r="AH60" s="155">
        <f t="shared" si="121"/>
        <v>0.22500000000000001</v>
      </c>
      <c r="AI60" s="155">
        <f t="shared" si="121"/>
        <v>0.22500000000000001</v>
      </c>
      <c r="AJ60" s="155">
        <f t="shared" si="121"/>
        <v>0.22500000000000001</v>
      </c>
      <c r="AK60" s="156">
        <f t="shared" ref="AK60:AN60" si="122">$B60*AK16</f>
        <v>0.9</v>
      </c>
      <c r="AL60" s="156">
        <f t="shared" si="122"/>
        <v>0.9</v>
      </c>
      <c r="AM60" s="156">
        <f t="shared" si="122"/>
        <v>0.9</v>
      </c>
      <c r="AN60" s="156">
        <f t="shared" si="122"/>
        <v>0.9</v>
      </c>
    </row>
    <row r="61" spans="1:40" ht="15" customHeight="1" x14ac:dyDescent="0.2">
      <c r="A61" s="157" t="s">
        <v>17</v>
      </c>
      <c r="B61" s="129">
        <v>0.8</v>
      </c>
      <c r="C61" s="155">
        <f t="shared" ref="C61:F61" si="123">$B61*C17</f>
        <v>4.8000000000000007</v>
      </c>
      <c r="D61" s="155">
        <f t="shared" si="123"/>
        <v>0.8</v>
      </c>
      <c r="E61" s="155">
        <f t="shared" si="123"/>
        <v>0</v>
      </c>
      <c r="F61" s="155">
        <f t="shared" si="123"/>
        <v>0</v>
      </c>
      <c r="G61" s="156">
        <f t="shared" si="108"/>
        <v>5.6000000000000005</v>
      </c>
      <c r="H61" s="155">
        <f>$B61*H17</f>
        <v>4.8000000000000007</v>
      </c>
      <c r="I61" s="155">
        <f>$B61*I17</f>
        <v>3.2</v>
      </c>
      <c r="J61" s="155">
        <f>$B61*J17</f>
        <v>0.8</v>
      </c>
      <c r="K61" s="155">
        <f>$B61*K17</f>
        <v>0</v>
      </c>
      <c r="L61" s="156">
        <f t="shared" si="109"/>
        <v>8.8000000000000007</v>
      </c>
      <c r="M61" s="155">
        <f>$B61*M17</f>
        <v>0</v>
      </c>
      <c r="N61" s="155">
        <f>$B61*N17</f>
        <v>5.6000000000000005</v>
      </c>
      <c r="O61" s="155">
        <f>$B61*O17</f>
        <v>0</v>
      </c>
      <c r="P61" s="155">
        <f>$B61*P17</f>
        <v>0</v>
      </c>
      <c r="Q61" s="156">
        <f t="shared" si="110"/>
        <v>5.6000000000000005</v>
      </c>
      <c r="R61" s="155">
        <f>$B61*R17</f>
        <v>0</v>
      </c>
      <c r="S61" s="155">
        <f>$B61*S17</f>
        <v>4</v>
      </c>
      <c r="T61" s="155">
        <f>$B61*T17</f>
        <v>0</v>
      </c>
      <c r="U61" s="155">
        <f>$B61*U17</f>
        <v>0</v>
      </c>
      <c r="V61" s="156">
        <f t="shared" si="111"/>
        <v>4</v>
      </c>
      <c r="W61" s="155">
        <f>$B61*W17</f>
        <v>0</v>
      </c>
      <c r="X61" s="155">
        <f t="shared" ref="X61:Z61" si="124">$B61*X17</f>
        <v>0</v>
      </c>
      <c r="Y61" s="155">
        <f t="shared" si="124"/>
        <v>0</v>
      </c>
      <c r="Z61" s="155">
        <f t="shared" si="124"/>
        <v>0</v>
      </c>
      <c r="AA61" s="156">
        <f t="shared" si="113"/>
        <v>0</v>
      </c>
      <c r="AB61" s="155">
        <f t="shared" ref="AB61:AE61" si="125">$B61*AB17</f>
        <v>0</v>
      </c>
      <c r="AC61" s="155">
        <f t="shared" si="125"/>
        <v>0</v>
      </c>
      <c r="AD61" s="155">
        <f t="shared" si="125"/>
        <v>0</v>
      </c>
      <c r="AE61" s="155">
        <f t="shared" si="125"/>
        <v>0</v>
      </c>
      <c r="AF61" s="156">
        <f t="shared" si="115"/>
        <v>0</v>
      </c>
      <c r="AG61" s="155">
        <f t="shared" ref="AG61:AJ61" si="126">$B61*AG17</f>
        <v>0</v>
      </c>
      <c r="AH61" s="155">
        <f t="shared" si="126"/>
        <v>0</v>
      </c>
      <c r="AI61" s="155">
        <f t="shared" si="126"/>
        <v>0</v>
      </c>
      <c r="AJ61" s="155">
        <f t="shared" si="126"/>
        <v>0</v>
      </c>
      <c r="AK61" s="156">
        <f t="shared" ref="AK61:AN61" si="127">$B61*AK17</f>
        <v>0</v>
      </c>
      <c r="AL61" s="156">
        <f t="shared" si="127"/>
        <v>0</v>
      </c>
      <c r="AM61" s="156">
        <f t="shared" si="127"/>
        <v>0</v>
      </c>
      <c r="AN61" s="156">
        <f t="shared" si="127"/>
        <v>0</v>
      </c>
    </row>
    <row r="62" spans="1:40" ht="15" customHeight="1" x14ac:dyDescent="0.2">
      <c r="A62" s="157" t="s">
        <v>18</v>
      </c>
      <c r="B62" s="129">
        <v>0.28499999999999998</v>
      </c>
      <c r="C62" s="155">
        <f t="shared" ref="C62:F62" si="128">$B62*C18</f>
        <v>6.27</v>
      </c>
      <c r="D62" s="155">
        <f t="shared" si="128"/>
        <v>0</v>
      </c>
      <c r="E62" s="155">
        <f t="shared" si="128"/>
        <v>0.56999999999999995</v>
      </c>
      <c r="F62" s="155">
        <f t="shared" si="128"/>
        <v>2.2799999999999998</v>
      </c>
      <c r="G62" s="156">
        <f t="shared" si="108"/>
        <v>9.1199999999999992</v>
      </c>
      <c r="H62" s="155">
        <f>$B62*H18</f>
        <v>2.8499999999999996</v>
      </c>
      <c r="I62" s="155">
        <f>$B62*I18</f>
        <v>0</v>
      </c>
      <c r="J62" s="155">
        <f>$B62*J18</f>
        <v>0</v>
      </c>
      <c r="K62" s="155">
        <f>$B62*K18</f>
        <v>0</v>
      </c>
      <c r="L62" s="156">
        <f t="shared" si="109"/>
        <v>2.8499999999999996</v>
      </c>
      <c r="M62" s="155">
        <f>$B62*M18</f>
        <v>1.1399999999999999</v>
      </c>
      <c r="N62" s="155">
        <f>$B62*N18</f>
        <v>0</v>
      </c>
      <c r="O62" s="155">
        <f>$B62*O18</f>
        <v>0</v>
      </c>
      <c r="P62" s="155">
        <f>$B62*P18</f>
        <v>1.71</v>
      </c>
      <c r="Q62" s="156">
        <f t="shared" si="110"/>
        <v>2.8499999999999996</v>
      </c>
      <c r="R62" s="155">
        <f>$B62*R18</f>
        <v>0.56999999999999995</v>
      </c>
      <c r="S62" s="155">
        <f>$B62*S18</f>
        <v>0</v>
      </c>
      <c r="T62" s="155">
        <f>$B62*T18</f>
        <v>0</v>
      </c>
      <c r="U62" s="155">
        <f>$B62*U18</f>
        <v>0</v>
      </c>
      <c r="V62" s="156">
        <f t="shared" si="111"/>
        <v>0.56999999999999995</v>
      </c>
      <c r="W62" s="155">
        <f>$B62*W18</f>
        <v>0.85499999999999998</v>
      </c>
      <c r="X62" s="155">
        <f t="shared" ref="X62:Z62" si="129">$B62*X18</f>
        <v>2.5649999999999999</v>
      </c>
      <c r="Y62" s="155">
        <f t="shared" si="129"/>
        <v>2.5649999999999999</v>
      </c>
      <c r="Z62" s="155">
        <f t="shared" si="129"/>
        <v>2.5649999999999999</v>
      </c>
      <c r="AA62" s="156">
        <f t="shared" si="113"/>
        <v>8.5499999999999989</v>
      </c>
      <c r="AB62" s="155">
        <f t="shared" ref="AB62:AE62" si="130">$B62*AB18</f>
        <v>2.5649999999999999</v>
      </c>
      <c r="AC62" s="155">
        <f t="shared" si="130"/>
        <v>2.5649999999999999</v>
      </c>
      <c r="AD62" s="155">
        <f t="shared" si="130"/>
        <v>2.5649999999999999</v>
      </c>
      <c r="AE62" s="155">
        <f t="shared" si="130"/>
        <v>2.5649999999999999</v>
      </c>
      <c r="AF62" s="156">
        <f t="shared" si="115"/>
        <v>10.26</v>
      </c>
      <c r="AG62" s="155">
        <f t="shared" ref="AG62:AJ62" si="131">$B62*AG18</f>
        <v>2.5649999999999999</v>
      </c>
      <c r="AH62" s="155">
        <f t="shared" si="131"/>
        <v>2.5649999999999999</v>
      </c>
      <c r="AI62" s="155">
        <f t="shared" si="131"/>
        <v>2.5649999999999999</v>
      </c>
      <c r="AJ62" s="155">
        <f t="shared" si="131"/>
        <v>2.5649999999999999</v>
      </c>
      <c r="AK62" s="156">
        <f t="shared" ref="AK62:AN62" si="132">$B62*AK18</f>
        <v>10.26</v>
      </c>
      <c r="AL62" s="156">
        <f t="shared" si="132"/>
        <v>10.26</v>
      </c>
      <c r="AM62" s="156">
        <f t="shared" si="132"/>
        <v>10.26</v>
      </c>
      <c r="AN62" s="156">
        <f t="shared" si="132"/>
        <v>10.26</v>
      </c>
    </row>
    <row r="63" spans="1:40" ht="15" customHeight="1" x14ac:dyDescent="0.2">
      <c r="A63" s="121" t="s">
        <v>12</v>
      </c>
      <c r="B63" s="129">
        <v>0.43</v>
      </c>
      <c r="C63" s="155">
        <f t="shared" ref="C63:F63" si="133">$B63*C19</f>
        <v>3.01</v>
      </c>
      <c r="D63" s="155">
        <f t="shared" si="133"/>
        <v>3.01</v>
      </c>
      <c r="E63" s="155">
        <f t="shared" si="133"/>
        <v>3.01</v>
      </c>
      <c r="F63" s="155">
        <f t="shared" si="133"/>
        <v>3.01</v>
      </c>
      <c r="G63" s="156">
        <f t="shared" si="108"/>
        <v>12.04</v>
      </c>
      <c r="H63" s="155">
        <f>$B63*H19</f>
        <v>1.72</v>
      </c>
      <c r="I63" s="155">
        <f>$B63*I19</f>
        <v>0</v>
      </c>
      <c r="J63" s="155">
        <f>$B63*J19</f>
        <v>4.3</v>
      </c>
      <c r="K63" s="155">
        <f>$B63*K19</f>
        <v>2.15</v>
      </c>
      <c r="L63" s="156">
        <f t="shared" si="109"/>
        <v>8.17</v>
      </c>
      <c r="M63" s="155">
        <f>$B63*M19</f>
        <v>3.01</v>
      </c>
      <c r="N63" s="155">
        <f>$B63*N19</f>
        <v>0.86</v>
      </c>
      <c r="O63" s="155">
        <f>$B63*O19</f>
        <v>3.44</v>
      </c>
      <c r="P63" s="155">
        <f>$B63*P19</f>
        <v>2.58</v>
      </c>
      <c r="Q63" s="156">
        <f t="shared" si="110"/>
        <v>9.89</v>
      </c>
      <c r="R63" s="155">
        <f>$B63*R19</f>
        <v>0</v>
      </c>
      <c r="S63" s="155">
        <f>$B63*S19</f>
        <v>0</v>
      </c>
      <c r="T63" s="155">
        <f>$B63*T19</f>
        <v>3.44</v>
      </c>
      <c r="U63" s="155">
        <f>$B63*U19</f>
        <v>3.44</v>
      </c>
      <c r="V63" s="156">
        <f t="shared" si="111"/>
        <v>6.88</v>
      </c>
      <c r="W63" s="155">
        <f>$B63*W19</f>
        <v>2.15</v>
      </c>
      <c r="X63" s="155">
        <f t="shared" ref="X63:Z63" si="134">$B63*X19</f>
        <v>0</v>
      </c>
      <c r="Y63" s="155">
        <f t="shared" si="134"/>
        <v>0</v>
      </c>
      <c r="Z63" s="155">
        <f t="shared" si="134"/>
        <v>0</v>
      </c>
      <c r="AA63" s="156">
        <f t="shared" si="113"/>
        <v>2.15</v>
      </c>
      <c r="AB63" s="155">
        <f t="shared" ref="AB63:AE63" si="135">$B63*AB19</f>
        <v>0</v>
      </c>
      <c r="AC63" s="155">
        <f t="shared" si="135"/>
        <v>0.64500000000000002</v>
      </c>
      <c r="AD63" s="155">
        <f t="shared" si="135"/>
        <v>0.64500000000000002</v>
      </c>
      <c r="AE63" s="155">
        <f t="shared" si="135"/>
        <v>0.64500000000000002</v>
      </c>
      <c r="AF63" s="156">
        <f t="shared" si="115"/>
        <v>1.9350000000000001</v>
      </c>
      <c r="AG63" s="155">
        <f t="shared" ref="AG63:AJ63" si="136">$B63*AG19</f>
        <v>0.64500000000000002</v>
      </c>
      <c r="AH63" s="155">
        <f t="shared" si="136"/>
        <v>1.29</v>
      </c>
      <c r="AI63" s="155">
        <f t="shared" si="136"/>
        <v>2.58</v>
      </c>
      <c r="AJ63" s="155">
        <f t="shared" si="136"/>
        <v>2.58</v>
      </c>
      <c r="AK63" s="156">
        <f t="shared" ref="AK63:AN63" si="137">$B63*AK19</f>
        <v>7.0949999999999998</v>
      </c>
      <c r="AL63" s="156">
        <f t="shared" si="137"/>
        <v>12.9</v>
      </c>
      <c r="AM63" s="156">
        <f t="shared" si="137"/>
        <v>12.9</v>
      </c>
      <c r="AN63" s="156">
        <f t="shared" si="137"/>
        <v>12.9</v>
      </c>
    </row>
    <row r="64" spans="1:40" ht="15" customHeight="1" x14ac:dyDescent="0.2">
      <c r="A64" s="121" t="s">
        <v>19</v>
      </c>
      <c r="B64" s="129">
        <v>0.21</v>
      </c>
      <c r="C64" s="155">
        <f t="shared" ref="C64:F64" si="138">$B64*C20</f>
        <v>9.4499999999999993</v>
      </c>
      <c r="D64" s="155">
        <f t="shared" si="138"/>
        <v>7.9799999999999995</v>
      </c>
      <c r="E64" s="155">
        <f t="shared" si="138"/>
        <v>10.709999999999999</v>
      </c>
      <c r="F64" s="155">
        <f t="shared" si="138"/>
        <v>4.62</v>
      </c>
      <c r="G64" s="156">
        <f t="shared" si="108"/>
        <v>32.76</v>
      </c>
      <c r="H64" s="155">
        <f>$B64*H20</f>
        <v>9.8699999999999992</v>
      </c>
      <c r="I64" s="155">
        <f>$B64*I20</f>
        <v>2.52</v>
      </c>
      <c r="J64" s="155">
        <f>$B64*J20</f>
        <v>3.15</v>
      </c>
      <c r="K64" s="155">
        <f>$B64*K20</f>
        <v>2.52</v>
      </c>
      <c r="L64" s="156">
        <f t="shared" si="109"/>
        <v>18.059999999999999</v>
      </c>
      <c r="M64" s="155">
        <f>$B64*M20</f>
        <v>2.94</v>
      </c>
      <c r="N64" s="155">
        <f>$B64*N20</f>
        <v>0.21</v>
      </c>
      <c r="O64" s="155">
        <f>$B64*O20</f>
        <v>0.21</v>
      </c>
      <c r="P64" s="155">
        <f>$B64*P20</f>
        <v>2.1</v>
      </c>
      <c r="Q64" s="156">
        <f t="shared" si="110"/>
        <v>5.46</v>
      </c>
      <c r="R64" s="155">
        <f>$B64*R20</f>
        <v>0.42</v>
      </c>
      <c r="S64" s="155">
        <f>$B64*S20</f>
        <v>1.68</v>
      </c>
      <c r="T64" s="155">
        <f>$B64*T20</f>
        <v>2.73</v>
      </c>
      <c r="U64" s="155">
        <f>$B64*U20</f>
        <v>0.42</v>
      </c>
      <c r="V64" s="156">
        <f t="shared" si="111"/>
        <v>5.25</v>
      </c>
      <c r="W64" s="155">
        <f>$B64*W20</f>
        <v>1.68</v>
      </c>
      <c r="X64" s="155">
        <f t="shared" ref="X64:Z64" si="139">$B64*X20</f>
        <v>1.89</v>
      </c>
      <c r="Y64" s="155">
        <f t="shared" si="139"/>
        <v>1.89</v>
      </c>
      <c r="Z64" s="155">
        <f t="shared" si="139"/>
        <v>2.52</v>
      </c>
      <c r="AA64" s="156">
        <f t="shared" si="113"/>
        <v>7.98</v>
      </c>
      <c r="AB64" s="155">
        <f t="shared" ref="AB64:AE64" si="140">$B64*AB20</f>
        <v>2.52</v>
      </c>
      <c r="AC64" s="155">
        <f t="shared" si="140"/>
        <v>2.52</v>
      </c>
      <c r="AD64" s="155">
        <f t="shared" si="140"/>
        <v>3.15</v>
      </c>
      <c r="AE64" s="155">
        <f t="shared" si="140"/>
        <v>3.15</v>
      </c>
      <c r="AF64" s="156">
        <f t="shared" si="115"/>
        <v>11.34</v>
      </c>
      <c r="AG64" s="155">
        <f t="shared" ref="AG64:AJ64" si="141">$B64*AG20</f>
        <v>3.78</v>
      </c>
      <c r="AH64" s="155">
        <f t="shared" si="141"/>
        <v>4.41</v>
      </c>
      <c r="AI64" s="155">
        <f t="shared" si="141"/>
        <v>4.41</v>
      </c>
      <c r="AJ64" s="155">
        <f t="shared" si="141"/>
        <v>4.41</v>
      </c>
      <c r="AK64" s="156">
        <f t="shared" ref="AK64:AN64" si="142">$B64*AK20</f>
        <v>17.009999999999998</v>
      </c>
      <c r="AL64" s="156">
        <f t="shared" si="142"/>
        <v>17.009999999999998</v>
      </c>
      <c r="AM64" s="156">
        <f t="shared" si="142"/>
        <v>17.009999999999998</v>
      </c>
      <c r="AN64" s="156">
        <f t="shared" si="142"/>
        <v>17.009999999999998</v>
      </c>
    </row>
    <row r="65" spans="1:40" ht="15" customHeight="1" x14ac:dyDescent="0.2">
      <c r="A65" s="12" t="s">
        <v>20</v>
      </c>
      <c r="B65" s="13"/>
      <c r="C65" s="34">
        <f t="shared" ref="C65:F65" si="143">SUM(C58:C64)</f>
        <v>63.204999999999998</v>
      </c>
      <c r="D65" s="34">
        <f t="shared" si="143"/>
        <v>18.59</v>
      </c>
      <c r="E65" s="34">
        <f t="shared" si="143"/>
        <v>17.29</v>
      </c>
      <c r="F65" s="34">
        <f t="shared" si="143"/>
        <v>16.835000000000001</v>
      </c>
      <c r="G65" s="143">
        <f>SUM(G58:G64)</f>
        <v>115.91999999999999</v>
      </c>
      <c r="H65" s="34">
        <f t="shared" ref="H65:W65" si="144">SUM(H58:H64)</f>
        <v>27.89</v>
      </c>
      <c r="I65" s="34">
        <f t="shared" si="144"/>
        <v>9.9700000000000006</v>
      </c>
      <c r="J65" s="34">
        <f t="shared" si="144"/>
        <v>10.199999999999999</v>
      </c>
      <c r="K65" s="34">
        <f t="shared" si="144"/>
        <v>6.7199999999999989</v>
      </c>
      <c r="L65" s="143">
        <f>SUM(L58:L64)</f>
        <v>54.78</v>
      </c>
      <c r="M65" s="34">
        <f t="shared" si="144"/>
        <v>9.0150000000000006</v>
      </c>
      <c r="N65" s="34">
        <f t="shared" si="144"/>
        <v>23.595000000000002</v>
      </c>
      <c r="O65" s="34">
        <f t="shared" si="144"/>
        <v>16.475000000000001</v>
      </c>
      <c r="P65" s="34">
        <f t="shared" si="144"/>
        <v>18.164999999999999</v>
      </c>
      <c r="Q65" s="143">
        <f>SUM(Q58:Q64)</f>
        <v>67.25</v>
      </c>
      <c r="R65" s="34">
        <f t="shared" si="144"/>
        <v>29.640000000000004</v>
      </c>
      <c r="S65" s="34">
        <f t="shared" si="144"/>
        <v>34.630000000000003</v>
      </c>
      <c r="T65" s="34">
        <f t="shared" si="144"/>
        <v>30.570000000000004</v>
      </c>
      <c r="U65" s="34">
        <f t="shared" si="144"/>
        <v>25.985000000000003</v>
      </c>
      <c r="V65" s="143">
        <f>SUM(V58:V64)</f>
        <v>120.82499999999999</v>
      </c>
      <c r="W65" s="34">
        <f t="shared" si="144"/>
        <v>34.385000000000005</v>
      </c>
      <c r="X65" s="34">
        <f t="shared" ref="X65:Z65" si="145">SUM(X58:X64)</f>
        <v>24.030000000000005</v>
      </c>
      <c r="Y65" s="34">
        <f t="shared" si="145"/>
        <v>24.030000000000005</v>
      </c>
      <c r="Z65" s="34">
        <f t="shared" si="145"/>
        <v>27.960000000000004</v>
      </c>
      <c r="AA65" s="143">
        <f>SUM(AA58:AA64)</f>
        <v>110.40500000000002</v>
      </c>
      <c r="AB65" s="34">
        <f t="shared" ref="AB65:AE65" si="146">SUM(AB58:AB64)</f>
        <v>27.960000000000004</v>
      </c>
      <c r="AC65" s="34">
        <f t="shared" si="146"/>
        <v>31.080000000000005</v>
      </c>
      <c r="AD65" s="34">
        <f t="shared" si="146"/>
        <v>35.010000000000005</v>
      </c>
      <c r="AE65" s="34">
        <f t="shared" si="146"/>
        <v>37.710000000000008</v>
      </c>
      <c r="AF65" s="143">
        <f>SUM(AF58:AF64)</f>
        <v>131.76000000000002</v>
      </c>
      <c r="AG65" s="34">
        <f t="shared" ref="AG65:AJ65" si="147">SUM(AG58:AG64)</f>
        <v>38.340000000000011</v>
      </c>
      <c r="AH65" s="34">
        <f t="shared" si="147"/>
        <v>39.615000000000009</v>
      </c>
      <c r="AI65" s="34">
        <f t="shared" si="147"/>
        <v>44.204999999999998</v>
      </c>
      <c r="AJ65" s="34">
        <f t="shared" si="147"/>
        <v>48.33</v>
      </c>
      <c r="AK65" s="143">
        <f t="shared" ref="AK65:AN65" si="148">SUM(AK58:AK64)</f>
        <v>170.49</v>
      </c>
      <c r="AL65" s="143">
        <f t="shared" si="148"/>
        <v>204.42000000000002</v>
      </c>
      <c r="AM65" s="143">
        <f t="shared" si="148"/>
        <v>204.42000000000002</v>
      </c>
      <c r="AN65" s="143">
        <f t="shared" si="148"/>
        <v>204.42000000000002</v>
      </c>
    </row>
    <row r="66" spans="1:40" ht="15" customHeight="1" x14ac:dyDescent="0.2">
      <c r="B66" s="160"/>
      <c r="C66" s="160"/>
      <c r="D66" s="160"/>
      <c r="E66" s="160"/>
      <c r="G66" s="156"/>
      <c r="H66" s="155"/>
      <c r="I66" s="155"/>
      <c r="J66" s="155"/>
      <c r="K66" s="155"/>
      <c r="L66" s="156"/>
      <c r="M66" s="155"/>
      <c r="N66" s="155"/>
      <c r="O66" s="155"/>
      <c r="P66" s="155"/>
      <c r="Q66" s="156"/>
      <c r="R66" s="155"/>
      <c r="S66" s="155"/>
      <c r="T66" s="155"/>
      <c r="U66" s="155"/>
      <c r="V66" s="156"/>
      <c r="W66" s="155"/>
      <c r="X66" s="155"/>
      <c r="Y66" s="155"/>
      <c r="Z66" s="155"/>
      <c r="AA66" s="156"/>
      <c r="AB66" s="155"/>
      <c r="AC66" s="155"/>
      <c r="AD66" s="155"/>
      <c r="AE66" s="155"/>
      <c r="AF66" s="156"/>
      <c r="AG66" s="155"/>
      <c r="AH66" s="155"/>
      <c r="AI66" s="155"/>
      <c r="AJ66" s="155"/>
      <c r="AK66" s="156"/>
      <c r="AL66" s="156"/>
      <c r="AM66" s="156"/>
      <c r="AN66" s="156"/>
    </row>
    <row r="67" spans="1:40" ht="15" customHeight="1" x14ac:dyDescent="0.2">
      <c r="A67" s="4" t="s">
        <v>81</v>
      </c>
      <c r="B67" s="14"/>
      <c r="C67" s="14"/>
      <c r="D67" s="14"/>
      <c r="E67" s="14"/>
      <c r="F67" s="4"/>
      <c r="G67" s="116"/>
      <c r="H67" s="4"/>
      <c r="I67" s="4"/>
      <c r="J67" s="4"/>
      <c r="K67" s="4"/>
      <c r="L67" s="116"/>
      <c r="M67" s="4"/>
      <c r="N67" s="4"/>
      <c r="O67" s="4"/>
      <c r="P67" s="4"/>
      <c r="Q67" s="116"/>
      <c r="R67" s="4"/>
      <c r="S67" s="4"/>
      <c r="T67" s="4"/>
      <c r="U67" s="4"/>
      <c r="V67" s="116"/>
      <c r="W67" s="4"/>
      <c r="X67" s="4"/>
      <c r="Y67" s="4"/>
      <c r="Z67" s="4"/>
      <c r="AA67" s="116"/>
      <c r="AB67" s="4"/>
      <c r="AC67" s="4"/>
      <c r="AD67" s="4"/>
      <c r="AE67" s="4"/>
      <c r="AF67" s="116"/>
      <c r="AG67" s="4"/>
      <c r="AH67" s="4"/>
      <c r="AI67" s="4"/>
      <c r="AJ67" s="4"/>
      <c r="AK67" s="116"/>
      <c r="AL67" s="116"/>
      <c r="AM67" s="116"/>
      <c r="AN67" s="116"/>
    </row>
    <row r="68" spans="1:40" ht="15" customHeight="1" x14ac:dyDescent="0.2">
      <c r="A68" s="121" t="s">
        <v>85</v>
      </c>
      <c r="B68" s="129">
        <v>0.23</v>
      </c>
      <c r="C68" s="155">
        <f t="shared" ref="C68:F68" si="149">$B68*C24</f>
        <v>35.995000000000005</v>
      </c>
      <c r="D68" s="155">
        <f t="shared" si="149"/>
        <v>36.914999999999999</v>
      </c>
      <c r="E68" s="155">
        <f t="shared" si="149"/>
        <v>36.914999999999999</v>
      </c>
      <c r="F68" s="155">
        <f t="shared" si="149"/>
        <v>36.914999999999999</v>
      </c>
      <c r="G68" s="156">
        <f>SUM(C68:F68)</f>
        <v>146.73999999999998</v>
      </c>
      <c r="H68" s="155">
        <f>$B68*H24</f>
        <v>36.914999999999999</v>
      </c>
      <c r="I68" s="155">
        <f>$B68*I24</f>
        <v>25.645</v>
      </c>
      <c r="J68" s="155">
        <f>$B68*J24</f>
        <v>25.645</v>
      </c>
      <c r="K68" s="155">
        <f>$B68*K24</f>
        <v>25.645</v>
      </c>
      <c r="L68" s="156">
        <f>SUM(H68:K68)</f>
        <v>113.85</v>
      </c>
      <c r="M68" s="155">
        <f>$B68*M24</f>
        <v>25.645</v>
      </c>
      <c r="N68" s="155">
        <f>$B68*N24</f>
        <v>27.772500000000001</v>
      </c>
      <c r="O68" s="155">
        <f>$B68*O24</f>
        <v>27.772500000000001</v>
      </c>
      <c r="P68" s="155">
        <f>$B68*P24</f>
        <v>27.772500000000001</v>
      </c>
      <c r="Q68" s="156">
        <f>SUM(M68:P68)</f>
        <v>108.96250000000001</v>
      </c>
      <c r="R68" s="155">
        <f>$B68*R24</f>
        <v>27.772500000000001</v>
      </c>
      <c r="S68" s="155">
        <f>$B68*S24</f>
        <v>25.07</v>
      </c>
      <c r="T68" s="155">
        <f>$B68*T24</f>
        <v>27.830000000000002</v>
      </c>
      <c r="U68" s="155">
        <f>$B68*U24</f>
        <v>25.3</v>
      </c>
      <c r="V68" s="156">
        <f>SUM(R68:U68)</f>
        <v>105.9725</v>
      </c>
      <c r="W68" s="155">
        <f>$B68*W24</f>
        <v>40.480000000000004</v>
      </c>
      <c r="X68" s="155">
        <f t="shared" ref="X68:Z68" si="150">$B68*X24</f>
        <v>34.5</v>
      </c>
      <c r="Y68" s="155">
        <f t="shared" si="150"/>
        <v>36.225000000000001</v>
      </c>
      <c r="Z68" s="155">
        <f t="shared" si="150"/>
        <v>31.625</v>
      </c>
      <c r="AA68" s="156">
        <f>SUM(W68:Z68)</f>
        <v>142.83000000000001</v>
      </c>
      <c r="AB68" s="155">
        <f t="shared" ref="AB68:AE68" si="151">$B68*AB24</f>
        <v>37.950000000000003</v>
      </c>
      <c r="AC68" s="155">
        <f t="shared" si="151"/>
        <v>41.4</v>
      </c>
      <c r="AD68" s="155">
        <f t="shared" si="151"/>
        <v>41.4</v>
      </c>
      <c r="AE68" s="155">
        <f t="shared" si="151"/>
        <v>41.4</v>
      </c>
      <c r="AF68" s="156">
        <f>SUM(AB68:AE68)</f>
        <v>162.15</v>
      </c>
      <c r="AG68" s="155">
        <f t="shared" ref="AG68:AN68" si="152">$B68*AG24</f>
        <v>41.4</v>
      </c>
      <c r="AH68" s="155">
        <f t="shared" si="152"/>
        <v>41.4</v>
      </c>
      <c r="AI68" s="155">
        <f t="shared" si="152"/>
        <v>41.4</v>
      </c>
      <c r="AJ68" s="155">
        <f t="shared" si="152"/>
        <v>41.4</v>
      </c>
      <c r="AK68" s="156">
        <f t="shared" si="152"/>
        <v>165.6</v>
      </c>
      <c r="AL68" s="156">
        <f t="shared" si="152"/>
        <v>165.6</v>
      </c>
      <c r="AM68" s="156">
        <f t="shared" si="152"/>
        <v>165.6</v>
      </c>
      <c r="AN68" s="156">
        <f t="shared" si="152"/>
        <v>165.6</v>
      </c>
    </row>
    <row r="69" spans="1:40" ht="15" customHeight="1" x14ac:dyDescent="0.2">
      <c r="A69" s="121" t="s">
        <v>6</v>
      </c>
      <c r="B69" s="129">
        <v>0.24</v>
      </c>
      <c r="C69" s="155">
        <f t="shared" ref="C69:F69" si="153">$B69*C25</f>
        <v>1.2</v>
      </c>
      <c r="D69" s="155">
        <f t="shared" si="153"/>
        <v>2.88</v>
      </c>
      <c r="E69" s="155">
        <f t="shared" si="153"/>
        <v>2.88</v>
      </c>
      <c r="F69" s="155">
        <f t="shared" si="153"/>
        <v>2.88</v>
      </c>
      <c r="G69" s="156">
        <f t="shared" ref="G69:G71" si="154">SUM(C69:F69)</f>
        <v>9.84</v>
      </c>
      <c r="H69" s="155">
        <f>$B69*H25</f>
        <v>2.88</v>
      </c>
      <c r="I69" s="155">
        <f>$B69*I25</f>
        <v>2.2799999999999998</v>
      </c>
      <c r="J69" s="155">
        <f>$B69*J25</f>
        <v>2.2799999999999998</v>
      </c>
      <c r="K69" s="155">
        <f>$B69*K25</f>
        <v>2.2799999999999998</v>
      </c>
      <c r="L69" s="156">
        <f t="shared" ref="L69:L71" si="155">SUM(H69:K69)</f>
        <v>9.7199999999999989</v>
      </c>
      <c r="M69" s="155">
        <f>$B69*M25</f>
        <v>2.2799999999999998</v>
      </c>
      <c r="N69" s="155">
        <f>$B69*N25</f>
        <v>3</v>
      </c>
      <c r="O69" s="155">
        <f>$B69*O25</f>
        <v>3</v>
      </c>
      <c r="P69" s="155">
        <f>$B69*P25</f>
        <v>3</v>
      </c>
      <c r="Q69" s="156">
        <f t="shared" ref="Q69:Q71" si="156">SUM(M69:P69)</f>
        <v>11.28</v>
      </c>
      <c r="R69" s="155">
        <f>$B69*R25</f>
        <v>3</v>
      </c>
      <c r="S69" s="155">
        <f>$B69*S25</f>
        <v>2.6399999999999997</v>
      </c>
      <c r="T69" s="155">
        <f>$B69*T25</f>
        <v>3.36</v>
      </c>
      <c r="U69" s="155">
        <f>$B69*U25</f>
        <v>2.16</v>
      </c>
      <c r="V69" s="156">
        <f t="shared" ref="V69:V71" si="157">SUM(R69:U69)</f>
        <v>11.16</v>
      </c>
      <c r="W69" s="155">
        <f>$B69*W25</f>
        <v>4.5599999999999996</v>
      </c>
      <c r="X69" s="155">
        <f t="shared" ref="X69:Z69" si="158">$B69*X25</f>
        <v>2.88</v>
      </c>
      <c r="Y69" s="155">
        <f t="shared" si="158"/>
        <v>3.5999999999999996</v>
      </c>
      <c r="Z69" s="155">
        <f t="shared" si="158"/>
        <v>3.5999999999999996</v>
      </c>
      <c r="AA69" s="156">
        <f t="shared" ref="AA69:AA71" si="159">SUM(W69:Z69)</f>
        <v>14.639999999999999</v>
      </c>
      <c r="AB69" s="155">
        <f t="shared" ref="AB69:AE69" si="160">$B69*AB25</f>
        <v>5.04</v>
      </c>
      <c r="AC69" s="155">
        <f t="shared" si="160"/>
        <v>5.04</v>
      </c>
      <c r="AD69" s="155">
        <f t="shared" si="160"/>
        <v>6.4799999999999995</v>
      </c>
      <c r="AE69" s="155">
        <f t="shared" si="160"/>
        <v>6.4799999999999995</v>
      </c>
      <c r="AF69" s="156">
        <f t="shared" ref="AF69:AF71" si="161">SUM(AB69:AE69)</f>
        <v>23.04</v>
      </c>
      <c r="AG69" s="155">
        <f t="shared" ref="AG69:AN69" si="162">$B69*AG25</f>
        <v>7.92</v>
      </c>
      <c r="AH69" s="155">
        <f t="shared" si="162"/>
        <v>7.92</v>
      </c>
      <c r="AI69" s="155">
        <f t="shared" si="162"/>
        <v>8.64</v>
      </c>
      <c r="AJ69" s="155">
        <f t="shared" si="162"/>
        <v>8.64</v>
      </c>
      <c r="AK69" s="156">
        <f t="shared" si="162"/>
        <v>33.119999999999997</v>
      </c>
      <c r="AL69" s="156">
        <f t="shared" si="162"/>
        <v>33.119999999999997</v>
      </c>
      <c r="AM69" s="156">
        <f t="shared" si="162"/>
        <v>33.119999999999997</v>
      </c>
      <c r="AN69" s="156">
        <f t="shared" si="162"/>
        <v>33.119999999999997</v>
      </c>
    </row>
    <row r="70" spans="1:40" ht="15" customHeight="1" x14ac:dyDescent="0.2">
      <c r="A70" s="121" t="s">
        <v>8</v>
      </c>
      <c r="B70" s="129">
        <v>4.5999999999999999E-2</v>
      </c>
      <c r="C70" s="155">
        <f t="shared" ref="C70:F70" si="163">$B70*C26</f>
        <v>1.0694999999999999</v>
      </c>
      <c r="D70" s="155">
        <f t="shared" si="163"/>
        <v>1.288</v>
      </c>
      <c r="E70" s="155">
        <f t="shared" si="163"/>
        <v>1.288</v>
      </c>
      <c r="F70" s="155">
        <f t="shared" si="163"/>
        <v>1.288</v>
      </c>
      <c r="G70" s="156">
        <f t="shared" si="154"/>
        <v>4.9335000000000004</v>
      </c>
      <c r="H70" s="155">
        <f>$B70*H26</f>
        <v>1.288</v>
      </c>
      <c r="I70" s="155">
        <f>$B70*I26</f>
        <v>0.67849999999999999</v>
      </c>
      <c r="J70" s="155">
        <f>$B70*J26</f>
        <v>0.67849999999999999</v>
      </c>
      <c r="K70" s="155">
        <f>$B70*K26</f>
        <v>0.67849999999999999</v>
      </c>
      <c r="L70" s="156">
        <f t="shared" si="155"/>
        <v>3.3235000000000001</v>
      </c>
      <c r="M70" s="155">
        <f>$B70*M26</f>
        <v>0.67849999999999999</v>
      </c>
      <c r="N70" s="155">
        <f>$B70*N26</f>
        <v>0.60950000000000004</v>
      </c>
      <c r="O70" s="155">
        <f>$B70*O26</f>
        <v>0.60950000000000004</v>
      </c>
      <c r="P70" s="155">
        <f>$B70*P26</f>
        <v>0.60950000000000004</v>
      </c>
      <c r="Q70" s="156">
        <f t="shared" si="156"/>
        <v>2.5070000000000001</v>
      </c>
      <c r="R70" s="155">
        <f>$B70*R26</f>
        <v>0.60950000000000004</v>
      </c>
      <c r="S70" s="155">
        <f>$B70*S26</f>
        <v>0.73599999999999999</v>
      </c>
      <c r="T70" s="155">
        <f>$B70*T26</f>
        <v>0.59799999999999998</v>
      </c>
      <c r="U70" s="155">
        <f>$B70*U26</f>
        <v>0.59799999999999998</v>
      </c>
      <c r="V70" s="156">
        <f t="shared" si="157"/>
        <v>2.5414999999999996</v>
      </c>
      <c r="W70" s="155">
        <f>$B70*W26</f>
        <v>0.91999999999999993</v>
      </c>
      <c r="X70" s="155">
        <f t="shared" ref="X70:Z70" si="164">$B70*X26</f>
        <v>0.69</v>
      </c>
      <c r="Y70" s="155">
        <f t="shared" si="164"/>
        <v>0.69</v>
      </c>
      <c r="Z70" s="155">
        <f t="shared" si="164"/>
        <v>0.69</v>
      </c>
      <c r="AA70" s="156">
        <f t="shared" si="159"/>
        <v>2.9899999999999998</v>
      </c>
      <c r="AB70" s="155">
        <f t="shared" ref="AB70:AE70" si="165">$B70*AB26</f>
        <v>0.69</v>
      </c>
      <c r="AC70" s="155">
        <f t="shared" si="165"/>
        <v>0.82799999999999996</v>
      </c>
      <c r="AD70" s="155">
        <f t="shared" si="165"/>
        <v>0.96599999999999997</v>
      </c>
      <c r="AE70" s="155">
        <f t="shared" si="165"/>
        <v>0.96599999999999997</v>
      </c>
      <c r="AF70" s="156">
        <f t="shared" si="161"/>
        <v>3.45</v>
      </c>
      <c r="AG70" s="155">
        <f t="shared" ref="AG70:AN70" si="166">$B70*AG26</f>
        <v>0.96599999999999997</v>
      </c>
      <c r="AH70" s="155">
        <f t="shared" si="166"/>
        <v>0.96599999999999997</v>
      </c>
      <c r="AI70" s="155">
        <f t="shared" si="166"/>
        <v>0.96599999999999997</v>
      </c>
      <c r="AJ70" s="155">
        <f t="shared" si="166"/>
        <v>0.96599999999999997</v>
      </c>
      <c r="AK70" s="156">
        <f t="shared" si="166"/>
        <v>3.8639999999999999</v>
      </c>
      <c r="AL70" s="156">
        <f t="shared" si="166"/>
        <v>3.8639999999999999</v>
      </c>
      <c r="AM70" s="156">
        <f t="shared" si="166"/>
        <v>3.8639999999999999</v>
      </c>
      <c r="AN70" s="156">
        <f t="shared" si="166"/>
        <v>3.8639999999999999</v>
      </c>
    </row>
    <row r="71" spans="1:40" ht="15" customHeight="1" x14ac:dyDescent="0.2">
      <c r="A71" s="121" t="s">
        <v>93</v>
      </c>
      <c r="B71" s="129">
        <v>0.2</v>
      </c>
      <c r="C71" s="155">
        <f t="shared" ref="C71:F71" si="167">$B71*C27</f>
        <v>2.4500000000000002</v>
      </c>
      <c r="D71" s="155">
        <f t="shared" si="167"/>
        <v>2.6500000000000004</v>
      </c>
      <c r="E71" s="155">
        <f t="shared" si="167"/>
        <v>2.6500000000000004</v>
      </c>
      <c r="F71" s="155">
        <f t="shared" si="167"/>
        <v>2.6500000000000004</v>
      </c>
      <c r="G71" s="156">
        <f t="shared" si="154"/>
        <v>10.400000000000002</v>
      </c>
      <c r="H71" s="155">
        <f>$B71*H27</f>
        <v>2.6500000000000004</v>
      </c>
      <c r="I71" s="155">
        <f>$B71*I27</f>
        <v>0.95000000000000007</v>
      </c>
      <c r="J71" s="155">
        <f>$B71*J27</f>
        <v>0.95000000000000007</v>
      </c>
      <c r="K71" s="155">
        <f>$B71*K27</f>
        <v>0.95000000000000007</v>
      </c>
      <c r="L71" s="156">
        <f t="shared" si="155"/>
        <v>5.5000000000000009</v>
      </c>
      <c r="M71" s="155">
        <f>$B71*M27</f>
        <v>0.95000000000000007</v>
      </c>
      <c r="N71" s="155">
        <f>$B71*N27</f>
        <v>0.9</v>
      </c>
      <c r="O71" s="155">
        <f>$B71*O27</f>
        <v>0.9</v>
      </c>
      <c r="P71" s="155">
        <f>$B71*P27</f>
        <v>0.9</v>
      </c>
      <c r="Q71" s="156">
        <f t="shared" si="156"/>
        <v>3.65</v>
      </c>
      <c r="R71" s="155">
        <f>$B71*R27</f>
        <v>0.9</v>
      </c>
      <c r="S71" s="155">
        <f>$B71*S27</f>
        <v>1.2000000000000002</v>
      </c>
      <c r="T71" s="155">
        <f>$B71*T27</f>
        <v>1.4000000000000001</v>
      </c>
      <c r="U71" s="155">
        <f>$B71*U27</f>
        <v>1.6</v>
      </c>
      <c r="V71" s="156">
        <f t="shared" si="157"/>
        <v>5.0999999999999996</v>
      </c>
      <c r="W71" s="155">
        <f>$B71*W27</f>
        <v>2.2000000000000002</v>
      </c>
      <c r="X71" s="155">
        <f t="shared" ref="X71:Z71" si="168">$B71*X27</f>
        <v>2.2000000000000002</v>
      </c>
      <c r="Y71" s="155">
        <f t="shared" si="168"/>
        <v>2.2000000000000002</v>
      </c>
      <c r="Z71" s="155">
        <f t="shared" si="168"/>
        <v>2.2000000000000002</v>
      </c>
      <c r="AA71" s="156">
        <f t="shared" si="159"/>
        <v>8.8000000000000007</v>
      </c>
      <c r="AB71" s="155">
        <f t="shared" ref="AB71:AE71" si="169">$B71*AB27</f>
        <v>1.2000000000000002</v>
      </c>
      <c r="AC71" s="155">
        <f t="shared" si="169"/>
        <v>1.2000000000000002</v>
      </c>
      <c r="AD71" s="155">
        <f t="shared" si="169"/>
        <v>1.5</v>
      </c>
      <c r="AE71" s="155">
        <f t="shared" si="169"/>
        <v>1.5</v>
      </c>
      <c r="AF71" s="156">
        <f t="shared" si="161"/>
        <v>5.4</v>
      </c>
      <c r="AG71" s="155">
        <f t="shared" ref="AG71:AN71" si="170">$B71*AG27</f>
        <v>1.8</v>
      </c>
      <c r="AH71" s="155">
        <f t="shared" si="170"/>
        <v>1.8</v>
      </c>
      <c r="AI71" s="155">
        <f t="shared" si="170"/>
        <v>1.8</v>
      </c>
      <c r="AJ71" s="155">
        <f t="shared" si="170"/>
        <v>1.8</v>
      </c>
      <c r="AK71" s="156">
        <f t="shared" si="170"/>
        <v>7.2</v>
      </c>
      <c r="AL71" s="156">
        <f t="shared" si="170"/>
        <v>7.2</v>
      </c>
      <c r="AM71" s="156">
        <f t="shared" si="170"/>
        <v>7.2</v>
      </c>
      <c r="AN71" s="156">
        <f t="shared" si="170"/>
        <v>7.2</v>
      </c>
    </row>
    <row r="72" spans="1:40" ht="15" customHeight="1" x14ac:dyDescent="0.2">
      <c r="A72" s="12" t="s">
        <v>94</v>
      </c>
      <c r="B72" s="13"/>
      <c r="C72" s="34">
        <f t="shared" ref="C72:F72" si="171">SUM(C68:C71)</f>
        <v>40.714500000000008</v>
      </c>
      <c r="D72" s="34">
        <f t="shared" si="171"/>
        <v>43.732999999999997</v>
      </c>
      <c r="E72" s="34">
        <f t="shared" si="171"/>
        <v>43.732999999999997</v>
      </c>
      <c r="F72" s="34">
        <f t="shared" si="171"/>
        <v>43.732999999999997</v>
      </c>
      <c r="G72" s="143">
        <f>SUM(G68:G71)</f>
        <v>171.9135</v>
      </c>
      <c r="H72" s="34">
        <f t="shared" ref="H72:R72" si="172">SUM(H68:H71)</f>
        <v>43.732999999999997</v>
      </c>
      <c r="I72" s="34">
        <f t="shared" si="172"/>
        <v>29.5535</v>
      </c>
      <c r="J72" s="34">
        <f t="shared" si="172"/>
        <v>29.5535</v>
      </c>
      <c r="K72" s="34">
        <f t="shared" si="172"/>
        <v>29.5535</v>
      </c>
      <c r="L72" s="143">
        <f>SUM(L68:L71)</f>
        <v>132.39349999999999</v>
      </c>
      <c r="M72" s="34">
        <f t="shared" si="172"/>
        <v>29.5535</v>
      </c>
      <c r="N72" s="34">
        <f t="shared" si="172"/>
        <v>32.282000000000004</v>
      </c>
      <c r="O72" s="34">
        <f t="shared" si="172"/>
        <v>32.282000000000004</v>
      </c>
      <c r="P72" s="34">
        <f t="shared" si="172"/>
        <v>32.282000000000004</v>
      </c>
      <c r="Q72" s="143">
        <f>SUM(Q68:Q71)</f>
        <v>126.39950000000002</v>
      </c>
      <c r="R72" s="34">
        <f t="shared" si="172"/>
        <v>32.282000000000004</v>
      </c>
      <c r="S72" s="34">
        <f>SUM(S68:S71)</f>
        <v>29.646000000000001</v>
      </c>
      <c r="T72" s="34">
        <f t="shared" ref="T72" si="173">SUM(T68:T71)</f>
        <v>33.188000000000002</v>
      </c>
      <c r="U72" s="34">
        <f t="shared" ref="U72" si="174">SUM(U68:U71)</f>
        <v>29.658000000000001</v>
      </c>
      <c r="V72" s="143">
        <f>SUM(V68:V71)</f>
        <v>124.77399999999999</v>
      </c>
      <c r="W72" s="34">
        <f t="shared" ref="W72" si="175">SUM(W68:W71)</f>
        <v>48.160000000000011</v>
      </c>
      <c r="X72" s="34">
        <f t="shared" ref="X72:Z72" si="176">SUM(X68:X71)</f>
        <v>40.270000000000003</v>
      </c>
      <c r="Y72" s="34">
        <f t="shared" si="176"/>
        <v>42.715000000000003</v>
      </c>
      <c r="Z72" s="34">
        <f t="shared" si="176"/>
        <v>38.115000000000002</v>
      </c>
      <c r="AA72" s="143">
        <f>SUM(AA68:AA71)</f>
        <v>169.26000000000002</v>
      </c>
      <c r="AB72" s="34">
        <f t="shared" ref="AB72:AE72" si="177">SUM(AB68:AB71)</f>
        <v>44.88</v>
      </c>
      <c r="AC72" s="34">
        <f t="shared" si="177"/>
        <v>48.468000000000004</v>
      </c>
      <c r="AD72" s="34">
        <f t="shared" si="177"/>
        <v>50.345999999999997</v>
      </c>
      <c r="AE72" s="34">
        <f t="shared" si="177"/>
        <v>50.345999999999997</v>
      </c>
      <c r="AF72" s="143">
        <f>SUM(AF68:AF71)</f>
        <v>194.04</v>
      </c>
      <c r="AG72" s="34">
        <f t="shared" ref="AG72:AN72" si="178">SUM(AG68:AG71)</f>
        <v>52.085999999999999</v>
      </c>
      <c r="AH72" s="34">
        <f t="shared" si="178"/>
        <v>52.085999999999999</v>
      </c>
      <c r="AI72" s="34">
        <f t="shared" si="178"/>
        <v>52.805999999999997</v>
      </c>
      <c r="AJ72" s="34">
        <f t="shared" si="178"/>
        <v>52.805999999999997</v>
      </c>
      <c r="AK72" s="143">
        <f t="shared" si="178"/>
        <v>209.78399999999999</v>
      </c>
      <c r="AL72" s="143">
        <f t="shared" si="178"/>
        <v>209.78399999999999</v>
      </c>
      <c r="AM72" s="143">
        <f t="shared" si="178"/>
        <v>209.78399999999999</v>
      </c>
      <c r="AN72" s="143">
        <f t="shared" si="178"/>
        <v>209.78399999999999</v>
      </c>
    </row>
    <row r="73" spans="1:40" ht="15" customHeight="1" x14ac:dyDescent="0.2">
      <c r="B73" s="160"/>
      <c r="C73" s="160"/>
      <c r="D73" s="160"/>
      <c r="E73" s="160"/>
      <c r="G73" s="156"/>
      <c r="H73" s="155"/>
      <c r="I73" s="155"/>
      <c r="J73" s="155"/>
      <c r="K73" s="155"/>
      <c r="L73" s="156"/>
      <c r="M73" s="155"/>
      <c r="N73" s="155"/>
      <c r="O73" s="155"/>
      <c r="P73" s="155"/>
      <c r="Q73" s="156"/>
      <c r="R73" s="155"/>
      <c r="S73" s="155"/>
      <c r="T73" s="155"/>
      <c r="U73" s="155"/>
      <c r="V73" s="156"/>
      <c r="W73" s="155"/>
      <c r="X73" s="155"/>
      <c r="Y73" s="155"/>
      <c r="Z73" s="155"/>
      <c r="AA73" s="156"/>
      <c r="AB73" s="155"/>
      <c r="AC73" s="155"/>
      <c r="AD73" s="155"/>
      <c r="AE73" s="155"/>
      <c r="AF73" s="156"/>
      <c r="AG73" s="155"/>
      <c r="AH73" s="155"/>
      <c r="AI73" s="155"/>
      <c r="AJ73" s="155"/>
      <c r="AK73" s="156"/>
      <c r="AL73" s="156"/>
      <c r="AM73" s="156"/>
      <c r="AN73" s="156"/>
    </row>
    <row r="74" spans="1:40" ht="15" customHeight="1" x14ac:dyDescent="0.2">
      <c r="A74" s="4" t="s">
        <v>113</v>
      </c>
      <c r="B74" s="4"/>
      <c r="C74" s="4"/>
      <c r="D74" s="4"/>
      <c r="E74" s="4"/>
      <c r="F74" s="4"/>
      <c r="G74" s="116"/>
      <c r="H74" s="4"/>
      <c r="I74" s="4"/>
      <c r="J74" s="4"/>
      <c r="K74" s="4"/>
      <c r="L74" s="116"/>
      <c r="M74" s="4"/>
      <c r="N74" s="4"/>
      <c r="O74" s="4"/>
      <c r="P74" s="4"/>
      <c r="Q74" s="116"/>
      <c r="R74" s="4"/>
      <c r="S74" s="4"/>
      <c r="T74" s="4"/>
      <c r="U74" s="4"/>
      <c r="V74" s="116"/>
      <c r="W74" s="4"/>
      <c r="X74" s="4"/>
      <c r="Y74" s="4"/>
      <c r="Z74" s="4"/>
      <c r="AA74" s="116"/>
      <c r="AB74" s="4"/>
      <c r="AC74" s="4"/>
      <c r="AD74" s="4"/>
      <c r="AE74" s="4"/>
      <c r="AF74" s="116"/>
      <c r="AG74" s="4"/>
      <c r="AH74" s="4"/>
      <c r="AI74" s="4"/>
      <c r="AJ74" s="4"/>
      <c r="AK74" s="116"/>
      <c r="AL74" s="116"/>
      <c r="AM74" s="116"/>
      <c r="AN74" s="116"/>
    </row>
    <row r="75" spans="1:40" ht="15" customHeight="1" x14ac:dyDescent="0.2">
      <c r="A75" s="121" t="s">
        <v>114</v>
      </c>
      <c r="B75" s="129">
        <v>0.16500000000000001</v>
      </c>
      <c r="C75" s="155">
        <f t="shared" ref="C75:F75" si="179">$B75*C31</f>
        <v>0</v>
      </c>
      <c r="D75" s="155">
        <f t="shared" si="179"/>
        <v>0</v>
      </c>
      <c r="E75" s="155">
        <f t="shared" si="179"/>
        <v>0</v>
      </c>
      <c r="F75" s="155">
        <f t="shared" si="179"/>
        <v>0</v>
      </c>
      <c r="G75" s="156">
        <f>SUM(C75:F75)</f>
        <v>0</v>
      </c>
      <c r="H75" s="155">
        <f>$B75*H31</f>
        <v>0</v>
      </c>
      <c r="I75" s="155">
        <f>$B75*I31</f>
        <v>0</v>
      </c>
      <c r="J75" s="155">
        <f>$B75*J31</f>
        <v>0</v>
      </c>
      <c r="K75" s="155">
        <f>$B75*K31</f>
        <v>0</v>
      </c>
      <c r="L75" s="156">
        <f>SUM(H75:K75)</f>
        <v>0</v>
      </c>
      <c r="M75" s="155">
        <f>$B75*M31</f>
        <v>0</v>
      </c>
      <c r="N75" s="155">
        <f>$B75*N31</f>
        <v>0</v>
      </c>
      <c r="O75" s="155">
        <f>$B75*O31</f>
        <v>0</v>
      </c>
      <c r="P75" s="155">
        <f>$B75*P31</f>
        <v>0</v>
      </c>
      <c r="Q75" s="156">
        <f>SUM(M75:P75)</f>
        <v>0</v>
      </c>
      <c r="R75" s="155">
        <f>$B75*R31</f>
        <v>1.32</v>
      </c>
      <c r="S75" s="155">
        <f>$B75*S31</f>
        <v>1.32</v>
      </c>
      <c r="T75" s="155">
        <f>$B75*T31</f>
        <v>1.155</v>
      </c>
      <c r="U75" s="155">
        <f>$B75*U31</f>
        <v>2.145</v>
      </c>
      <c r="V75" s="156">
        <f>SUM(R75:U75)</f>
        <v>5.9399999999999995</v>
      </c>
      <c r="W75" s="155">
        <f>$B75*W31</f>
        <v>1.4850000000000001</v>
      </c>
      <c r="X75" s="155">
        <f t="shared" ref="X75:Z75" si="180">$B75*X31</f>
        <v>1.4850000000000001</v>
      </c>
      <c r="Y75" s="155">
        <f t="shared" si="180"/>
        <v>1.4850000000000001</v>
      </c>
      <c r="Z75" s="155">
        <f t="shared" si="180"/>
        <v>1.4850000000000001</v>
      </c>
      <c r="AA75" s="156">
        <f>SUM(W75:Z75)</f>
        <v>5.94</v>
      </c>
      <c r="AB75" s="155">
        <f t="shared" ref="AB75:AE75" si="181">$B75*AB31</f>
        <v>1.4850000000000001</v>
      </c>
      <c r="AC75" s="155">
        <f t="shared" si="181"/>
        <v>1.4850000000000001</v>
      </c>
      <c r="AD75" s="155">
        <f t="shared" si="181"/>
        <v>1.4850000000000001</v>
      </c>
      <c r="AE75" s="155">
        <f t="shared" si="181"/>
        <v>1.4850000000000001</v>
      </c>
      <c r="AF75" s="156">
        <f>SUM(AB75:AE75)</f>
        <v>5.94</v>
      </c>
      <c r="AG75" s="155">
        <f t="shared" ref="AG75:AJ75" si="182">$B75*AG31</f>
        <v>1.4850000000000001</v>
      </c>
      <c r="AH75" s="155">
        <f t="shared" si="182"/>
        <v>1.4850000000000001</v>
      </c>
      <c r="AI75" s="155">
        <f t="shared" si="182"/>
        <v>1.4850000000000001</v>
      </c>
      <c r="AJ75" s="155">
        <f t="shared" si="182"/>
        <v>1.4850000000000001</v>
      </c>
      <c r="AK75" s="156">
        <f t="shared" ref="AK75:AN75" si="183">$B75*AK31</f>
        <v>5.94</v>
      </c>
      <c r="AL75" s="156">
        <f t="shared" si="183"/>
        <v>5.94</v>
      </c>
      <c r="AM75" s="156">
        <f t="shared" si="183"/>
        <v>5.94</v>
      </c>
      <c r="AN75" s="156">
        <f t="shared" si="183"/>
        <v>5.94</v>
      </c>
    </row>
    <row r="76" spans="1:40" ht="15" customHeight="1" x14ac:dyDescent="0.2">
      <c r="A76" s="121" t="s">
        <v>115</v>
      </c>
      <c r="B76" s="129">
        <v>0.185</v>
      </c>
      <c r="C76" s="155">
        <f t="shared" ref="C76:F76" si="184">$B76*C32</f>
        <v>0</v>
      </c>
      <c r="D76" s="155">
        <f t="shared" si="184"/>
        <v>0</v>
      </c>
      <c r="E76" s="155">
        <f t="shared" si="184"/>
        <v>0</v>
      </c>
      <c r="F76" s="155">
        <f t="shared" si="184"/>
        <v>0</v>
      </c>
      <c r="G76" s="156">
        <f>SUM(C76:F76)</f>
        <v>0</v>
      </c>
      <c r="H76" s="155">
        <f>$B76*H32</f>
        <v>0</v>
      </c>
      <c r="I76" s="155">
        <f>$B76*I32</f>
        <v>0</v>
      </c>
      <c r="J76" s="155">
        <f>$B76*J32</f>
        <v>0</v>
      </c>
      <c r="K76" s="155">
        <f>$B76*K32</f>
        <v>0</v>
      </c>
      <c r="L76" s="156">
        <f>SUM(H76:K76)</f>
        <v>0</v>
      </c>
      <c r="M76" s="155">
        <f>$B76*M32</f>
        <v>0</v>
      </c>
      <c r="N76" s="155">
        <f>$B76*N32</f>
        <v>0</v>
      </c>
      <c r="O76" s="155">
        <f>$B76*O32</f>
        <v>0</v>
      </c>
      <c r="P76" s="155">
        <f>$B76*P32</f>
        <v>0</v>
      </c>
      <c r="Q76" s="156">
        <f>SUM(M76:P76)</f>
        <v>0</v>
      </c>
      <c r="R76" s="155">
        <f>$B76*R32</f>
        <v>2.2199999999999998</v>
      </c>
      <c r="S76" s="155">
        <f>$B76*S32</f>
        <v>2.2199999999999998</v>
      </c>
      <c r="T76" s="155">
        <f>$B76*T32</f>
        <v>2.0350000000000001</v>
      </c>
      <c r="U76" s="155">
        <f>$B76*U32</f>
        <v>3.5150000000000001</v>
      </c>
      <c r="V76" s="156">
        <f>SUM(R76:U76)</f>
        <v>9.99</v>
      </c>
      <c r="W76" s="155">
        <f>$B76*W32</f>
        <v>2.4049999999999998</v>
      </c>
      <c r="X76" s="155">
        <f t="shared" ref="X76:Z76" si="185">$B76*X32</f>
        <v>2.4049999999999998</v>
      </c>
      <c r="Y76" s="155">
        <f t="shared" si="185"/>
        <v>2.4049999999999998</v>
      </c>
      <c r="Z76" s="155">
        <f t="shared" si="185"/>
        <v>2.4049999999999998</v>
      </c>
      <c r="AA76" s="156">
        <f>SUM(W76:Z76)</f>
        <v>9.6199999999999992</v>
      </c>
      <c r="AB76" s="155">
        <f t="shared" ref="AB76:AE76" si="186">$B76*AB32</f>
        <v>2.4049999999999998</v>
      </c>
      <c r="AC76" s="155">
        <f t="shared" si="186"/>
        <v>2.4049999999999998</v>
      </c>
      <c r="AD76" s="155">
        <f t="shared" si="186"/>
        <v>2.4049999999999998</v>
      </c>
      <c r="AE76" s="155">
        <f t="shared" si="186"/>
        <v>2.4049999999999998</v>
      </c>
      <c r="AF76" s="156">
        <f>SUM(AB76:AE76)</f>
        <v>9.6199999999999992</v>
      </c>
      <c r="AG76" s="155">
        <f t="shared" ref="AG76:AJ76" si="187">$B76*AG32</f>
        <v>2.4049999999999998</v>
      </c>
      <c r="AH76" s="155">
        <f t="shared" si="187"/>
        <v>2.4049999999999998</v>
      </c>
      <c r="AI76" s="155">
        <f t="shared" si="187"/>
        <v>2.4049999999999998</v>
      </c>
      <c r="AJ76" s="155">
        <f t="shared" si="187"/>
        <v>2.4049999999999998</v>
      </c>
      <c r="AK76" s="156">
        <f t="shared" ref="AK76:AN76" si="188">$B76*AK32</f>
        <v>9.6199999999999992</v>
      </c>
      <c r="AL76" s="156">
        <f t="shared" si="188"/>
        <v>9.6199999999999992</v>
      </c>
      <c r="AM76" s="156">
        <f t="shared" si="188"/>
        <v>9.6199999999999992</v>
      </c>
      <c r="AN76" s="156">
        <f t="shared" si="188"/>
        <v>9.6199999999999992</v>
      </c>
    </row>
    <row r="77" spans="1:40" ht="15" customHeight="1" x14ac:dyDescent="0.2">
      <c r="A77" s="12" t="s">
        <v>116</v>
      </c>
      <c r="B77" s="12"/>
      <c r="C77" s="34">
        <f t="shared" ref="C77:F77" si="189">SUM(C75:C76)</f>
        <v>0</v>
      </c>
      <c r="D77" s="34">
        <f t="shared" si="189"/>
        <v>0</v>
      </c>
      <c r="E77" s="34">
        <f t="shared" si="189"/>
        <v>0</v>
      </c>
      <c r="F77" s="34">
        <f t="shared" si="189"/>
        <v>0</v>
      </c>
      <c r="G77" s="143">
        <f>SUM(G75:G76)</f>
        <v>0</v>
      </c>
      <c r="H77" s="34">
        <f t="shared" ref="H77:W77" si="190">SUM(H75:H76)</f>
        <v>0</v>
      </c>
      <c r="I77" s="34">
        <f t="shared" si="190"/>
        <v>0</v>
      </c>
      <c r="J77" s="34">
        <f t="shared" si="190"/>
        <v>0</v>
      </c>
      <c r="K77" s="34">
        <f t="shared" si="190"/>
        <v>0</v>
      </c>
      <c r="L77" s="143">
        <f>SUM(L75:L76)</f>
        <v>0</v>
      </c>
      <c r="M77" s="34">
        <f t="shared" si="190"/>
        <v>0</v>
      </c>
      <c r="N77" s="34">
        <f t="shared" si="190"/>
        <v>0</v>
      </c>
      <c r="O77" s="34">
        <f t="shared" si="190"/>
        <v>0</v>
      </c>
      <c r="P77" s="34">
        <f t="shared" si="190"/>
        <v>0</v>
      </c>
      <c r="Q77" s="143">
        <f>SUM(Q75:Q76)</f>
        <v>0</v>
      </c>
      <c r="R77" s="34">
        <f t="shared" si="190"/>
        <v>3.54</v>
      </c>
      <c r="S77" s="34">
        <f t="shared" si="190"/>
        <v>3.54</v>
      </c>
      <c r="T77" s="34">
        <f t="shared" si="190"/>
        <v>3.1900000000000004</v>
      </c>
      <c r="U77" s="34">
        <f t="shared" si="190"/>
        <v>5.66</v>
      </c>
      <c r="V77" s="143">
        <f>SUM(V75:V76)</f>
        <v>15.93</v>
      </c>
      <c r="W77" s="34">
        <f t="shared" si="190"/>
        <v>3.8899999999999997</v>
      </c>
      <c r="X77" s="34">
        <f t="shared" ref="X77:Z77" si="191">SUM(X75:X76)</f>
        <v>3.8899999999999997</v>
      </c>
      <c r="Y77" s="34">
        <f t="shared" si="191"/>
        <v>3.8899999999999997</v>
      </c>
      <c r="Z77" s="34">
        <f t="shared" si="191"/>
        <v>3.8899999999999997</v>
      </c>
      <c r="AA77" s="143">
        <f>SUM(AA75:AA76)</f>
        <v>15.559999999999999</v>
      </c>
      <c r="AB77" s="34">
        <f t="shared" ref="AB77:AE77" si="192">SUM(AB75:AB76)</f>
        <v>3.8899999999999997</v>
      </c>
      <c r="AC77" s="34">
        <f t="shared" si="192"/>
        <v>3.8899999999999997</v>
      </c>
      <c r="AD77" s="34">
        <f t="shared" si="192"/>
        <v>3.8899999999999997</v>
      </c>
      <c r="AE77" s="34">
        <f t="shared" si="192"/>
        <v>3.8899999999999997</v>
      </c>
      <c r="AF77" s="143">
        <f>SUM(AF75:AF76)</f>
        <v>15.559999999999999</v>
      </c>
      <c r="AG77" s="34">
        <f t="shared" ref="AG77:AJ77" si="193">SUM(AG75:AG76)</f>
        <v>3.8899999999999997</v>
      </c>
      <c r="AH77" s="34">
        <f t="shared" si="193"/>
        <v>3.8899999999999997</v>
      </c>
      <c r="AI77" s="34">
        <f t="shared" si="193"/>
        <v>3.8899999999999997</v>
      </c>
      <c r="AJ77" s="34">
        <f t="shared" si="193"/>
        <v>3.8899999999999997</v>
      </c>
      <c r="AK77" s="143">
        <f t="shared" ref="AK77:AN77" si="194">SUM(AK75:AK76)</f>
        <v>15.559999999999999</v>
      </c>
      <c r="AL77" s="143">
        <f t="shared" si="194"/>
        <v>15.559999999999999</v>
      </c>
      <c r="AM77" s="143">
        <f t="shared" si="194"/>
        <v>15.559999999999999</v>
      </c>
      <c r="AN77" s="143">
        <f t="shared" si="194"/>
        <v>15.559999999999999</v>
      </c>
    </row>
    <row r="78" spans="1:40" ht="15" customHeight="1" x14ac:dyDescent="0.2">
      <c r="A78" s="1"/>
      <c r="B78" s="1"/>
      <c r="C78" s="1"/>
      <c r="D78" s="1"/>
      <c r="E78" s="1"/>
      <c r="F78" s="1"/>
      <c r="G78" s="117"/>
      <c r="H78" s="35"/>
      <c r="I78" s="35"/>
      <c r="J78" s="35"/>
      <c r="K78" s="35"/>
      <c r="L78" s="117"/>
      <c r="M78" s="35"/>
      <c r="N78" s="35"/>
      <c r="O78" s="35"/>
      <c r="P78" s="35"/>
      <c r="Q78" s="117"/>
      <c r="R78" s="35"/>
      <c r="S78" s="35"/>
      <c r="T78" s="35"/>
      <c r="U78" s="35"/>
      <c r="V78" s="117"/>
      <c r="W78" s="35"/>
      <c r="X78" s="35"/>
      <c r="Y78" s="35"/>
      <c r="Z78" s="35"/>
      <c r="AA78" s="117"/>
      <c r="AB78" s="35"/>
      <c r="AC78" s="35"/>
      <c r="AD78" s="35"/>
      <c r="AE78" s="35"/>
      <c r="AF78" s="117"/>
      <c r="AG78" s="35"/>
      <c r="AH78" s="35"/>
      <c r="AI78" s="35"/>
      <c r="AJ78" s="35"/>
      <c r="AK78" s="117"/>
      <c r="AL78" s="117"/>
      <c r="AM78" s="117"/>
      <c r="AN78" s="117"/>
    </row>
    <row r="79" spans="1:40" ht="15" customHeight="1" x14ac:dyDescent="0.2">
      <c r="A79" s="4" t="s">
        <v>95</v>
      </c>
      <c r="B79" s="14"/>
      <c r="C79" s="14"/>
      <c r="D79" s="14"/>
      <c r="E79" s="14"/>
      <c r="F79" s="4"/>
      <c r="G79" s="116"/>
      <c r="H79" s="4"/>
      <c r="I79" s="4"/>
      <c r="J79" s="4"/>
      <c r="K79" s="4"/>
      <c r="L79" s="116"/>
      <c r="M79" s="4"/>
      <c r="N79" s="4"/>
      <c r="O79" s="4"/>
      <c r="P79" s="4"/>
      <c r="Q79" s="116"/>
      <c r="R79" s="4"/>
      <c r="S79" s="4"/>
      <c r="T79" s="4"/>
      <c r="U79" s="4"/>
      <c r="V79" s="116"/>
      <c r="W79" s="4"/>
      <c r="X79" s="4"/>
      <c r="Y79" s="4"/>
      <c r="Z79" s="4"/>
      <c r="AA79" s="116"/>
      <c r="AB79" s="4"/>
      <c r="AC79" s="4"/>
      <c r="AD79" s="4"/>
      <c r="AE79" s="4"/>
      <c r="AF79" s="116"/>
      <c r="AG79" s="4"/>
      <c r="AH79" s="4"/>
      <c r="AI79" s="4"/>
      <c r="AJ79" s="4"/>
      <c r="AK79" s="116"/>
      <c r="AL79" s="116"/>
      <c r="AM79" s="116"/>
      <c r="AN79" s="116"/>
    </row>
    <row r="80" spans="1:40" ht="15" customHeight="1" x14ac:dyDescent="0.2">
      <c r="A80" s="121" t="s">
        <v>96</v>
      </c>
      <c r="B80" s="129">
        <v>0.23</v>
      </c>
      <c r="C80" s="155">
        <f t="shared" ref="C80:F80" si="195">$B80*C36</f>
        <v>0</v>
      </c>
      <c r="D80" s="155">
        <f t="shared" si="195"/>
        <v>0</v>
      </c>
      <c r="E80" s="155">
        <f t="shared" si="195"/>
        <v>0</v>
      </c>
      <c r="F80" s="155">
        <f t="shared" si="195"/>
        <v>0</v>
      </c>
      <c r="G80" s="156">
        <f>SUM(C80:F80)</f>
        <v>0</v>
      </c>
      <c r="H80" s="155">
        <f>$B80*H36</f>
        <v>0</v>
      </c>
      <c r="I80" s="155">
        <f>$B80*I36</f>
        <v>0</v>
      </c>
      <c r="J80" s="155">
        <f>$B80*J36</f>
        <v>0</v>
      </c>
      <c r="K80" s="155">
        <f>$B80*K36</f>
        <v>0</v>
      </c>
      <c r="L80" s="156">
        <f>SUM(H80:K80)</f>
        <v>0</v>
      </c>
      <c r="M80" s="155">
        <f>$B80*M36</f>
        <v>0</v>
      </c>
      <c r="N80" s="155">
        <f>$B80*N36</f>
        <v>0</v>
      </c>
      <c r="O80" s="155">
        <f>$B80*O36</f>
        <v>0</v>
      </c>
      <c r="P80" s="155">
        <f>$B80*P36</f>
        <v>0</v>
      </c>
      <c r="Q80" s="156">
        <f>SUM(M80:P80)</f>
        <v>0</v>
      </c>
      <c r="R80" s="155">
        <f>$B80*R36</f>
        <v>1.3800000000000001</v>
      </c>
      <c r="S80" s="155">
        <f>$B80*S36</f>
        <v>1.3800000000000001</v>
      </c>
      <c r="T80" s="155">
        <f>$B80*T36</f>
        <v>1.61</v>
      </c>
      <c r="U80" s="155">
        <f>$B80*U36</f>
        <v>2.5300000000000002</v>
      </c>
      <c r="V80" s="156">
        <f>SUM(R80:U80)</f>
        <v>6.9</v>
      </c>
      <c r="W80" s="155">
        <f>$B80*W36</f>
        <v>1.84</v>
      </c>
      <c r="X80" s="155">
        <f t="shared" ref="X80:Z80" si="196">$B80*X36</f>
        <v>1.84</v>
      </c>
      <c r="Y80" s="155">
        <f t="shared" si="196"/>
        <v>1.84</v>
      </c>
      <c r="Z80" s="155">
        <f t="shared" si="196"/>
        <v>1.84</v>
      </c>
      <c r="AA80" s="156">
        <f>SUM(W80:Z80)</f>
        <v>7.36</v>
      </c>
      <c r="AB80" s="155">
        <f t="shared" ref="AB80:AE80" si="197">$B80*AB36</f>
        <v>1.84</v>
      </c>
      <c r="AC80" s="155">
        <f t="shared" si="197"/>
        <v>1.84</v>
      </c>
      <c r="AD80" s="155">
        <f t="shared" si="197"/>
        <v>1.84</v>
      </c>
      <c r="AE80" s="155">
        <f t="shared" si="197"/>
        <v>1.84</v>
      </c>
      <c r="AF80" s="156">
        <f>SUM(AB80:AE80)</f>
        <v>7.36</v>
      </c>
      <c r="AG80" s="155">
        <f t="shared" ref="AG80:AJ80" si="198">$B80*AG36</f>
        <v>1.84</v>
      </c>
      <c r="AH80" s="155">
        <f t="shared" si="198"/>
        <v>1.84</v>
      </c>
      <c r="AI80" s="155">
        <f t="shared" si="198"/>
        <v>1.84</v>
      </c>
      <c r="AJ80" s="155">
        <f t="shared" si="198"/>
        <v>1.84</v>
      </c>
      <c r="AK80" s="156">
        <f t="shared" ref="AK80:AN80" si="199">$B80*AK36</f>
        <v>7.36</v>
      </c>
      <c r="AL80" s="156">
        <f t="shared" si="199"/>
        <v>7.36</v>
      </c>
      <c r="AM80" s="156">
        <f t="shared" si="199"/>
        <v>7.36</v>
      </c>
      <c r="AN80" s="156">
        <f t="shared" si="199"/>
        <v>7.36</v>
      </c>
    </row>
    <row r="81" spans="1:40" ht="15" customHeight="1" x14ac:dyDescent="0.2">
      <c r="A81" s="121" t="s">
        <v>97</v>
      </c>
      <c r="B81" s="129">
        <v>0.36499999999999999</v>
      </c>
      <c r="C81" s="155">
        <f t="shared" ref="C81:F81" si="200">$B81*C37</f>
        <v>0</v>
      </c>
      <c r="D81" s="155">
        <f t="shared" si="200"/>
        <v>0</v>
      </c>
      <c r="E81" s="155">
        <f t="shared" si="200"/>
        <v>0</v>
      </c>
      <c r="F81" s="155">
        <f t="shared" si="200"/>
        <v>0</v>
      </c>
      <c r="G81" s="156">
        <f t="shared" ref="G81:G85" si="201">SUM(C81:F81)</f>
        <v>0</v>
      </c>
      <c r="H81" s="155">
        <f>$B81*H37</f>
        <v>0</v>
      </c>
      <c r="I81" s="155">
        <f>$B81*I37</f>
        <v>0</v>
      </c>
      <c r="J81" s="155">
        <f>$B81*J37</f>
        <v>0</v>
      </c>
      <c r="K81" s="155">
        <f>$B81*K37</f>
        <v>0</v>
      </c>
      <c r="L81" s="156">
        <f t="shared" ref="L81:L85" si="202">SUM(H81:K81)</f>
        <v>0</v>
      </c>
      <c r="M81" s="155">
        <f>$B81*M37</f>
        <v>0</v>
      </c>
      <c r="N81" s="155">
        <f>$B81*N37</f>
        <v>0</v>
      </c>
      <c r="O81" s="155">
        <f>$B81*O37</f>
        <v>0</v>
      </c>
      <c r="P81" s="155">
        <f>$B81*P37</f>
        <v>0</v>
      </c>
      <c r="Q81" s="156">
        <f t="shared" ref="Q81:Q85" si="203">SUM(M81:P81)</f>
        <v>0</v>
      </c>
      <c r="R81" s="155">
        <f>$B81*R37</f>
        <v>2.19</v>
      </c>
      <c r="S81" s="155">
        <f>$B81*S37</f>
        <v>2.19</v>
      </c>
      <c r="T81" s="155">
        <f>$B81*T37</f>
        <v>2.5549999999999997</v>
      </c>
      <c r="U81" s="155">
        <f>$B81*U37</f>
        <v>4.0149999999999997</v>
      </c>
      <c r="V81" s="156">
        <f t="shared" ref="V81:V85" si="204">SUM(R81:U81)</f>
        <v>10.95</v>
      </c>
      <c r="W81" s="155">
        <f>$B81*W37</f>
        <v>2.92</v>
      </c>
      <c r="X81" s="155">
        <f t="shared" ref="X81:Z81" si="205">$B81*X37</f>
        <v>2.92</v>
      </c>
      <c r="Y81" s="155">
        <f t="shared" si="205"/>
        <v>2.92</v>
      </c>
      <c r="Z81" s="155">
        <f t="shared" si="205"/>
        <v>2.92</v>
      </c>
      <c r="AA81" s="156">
        <f t="shared" ref="AA81:AA85" si="206">SUM(W81:Z81)</f>
        <v>11.68</v>
      </c>
      <c r="AB81" s="155">
        <f t="shared" ref="AB81:AE81" si="207">$B81*AB37</f>
        <v>2.92</v>
      </c>
      <c r="AC81" s="155">
        <f t="shared" si="207"/>
        <v>2.92</v>
      </c>
      <c r="AD81" s="155">
        <f t="shared" si="207"/>
        <v>2.92</v>
      </c>
      <c r="AE81" s="155">
        <f t="shared" si="207"/>
        <v>2.92</v>
      </c>
      <c r="AF81" s="156">
        <f t="shared" ref="AF81:AF85" si="208">SUM(AB81:AE81)</f>
        <v>11.68</v>
      </c>
      <c r="AG81" s="155">
        <f t="shared" ref="AG81:AJ81" si="209">$B81*AG37</f>
        <v>2.92</v>
      </c>
      <c r="AH81" s="155">
        <f t="shared" si="209"/>
        <v>2.92</v>
      </c>
      <c r="AI81" s="155">
        <f t="shared" si="209"/>
        <v>2.92</v>
      </c>
      <c r="AJ81" s="155">
        <f t="shared" si="209"/>
        <v>2.92</v>
      </c>
      <c r="AK81" s="156">
        <f t="shared" ref="AK81:AN81" si="210">$B81*AK37</f>
        <v>11.68</v>
      </c>
      <c r="AL81" s="156">
        <f t="shared" si="210"/>
        <v>11.68</v>
      </c>
      <c r="AM81" s="156">
        <f t="shared" si="210"/>
        <v>11.68</v>
      </c>
      <c r="AN81" s="156">
        <f t="shared" si="210"/>
        <v>11.68</v>
      </c>
    </row>
    <row r="82" spans="1:40" ht="15" customHeight="1" x14ac:dyDescent="0.2">
      <c r="A82" s="121" t="s">
        <v>98</v>
      </c>
      <c r="B82" s="129">
        <v>0.21</v>
      </c>
      <c r="C82" s="155">
        <f t="shared" ref="C82:F82" si="211">$B82*C38</f>
        <v>3.15</v>
      </c>
      <c r="D82" s="155">
        <f t="shared" si="211"/>
        <v>3.36</v>
      </c>
      <c r="E82" s="155">
        <f t="shared" si="211"/>
        <v>3.15</v>
      </c>
      <c r="F82" s="155">
        <f t="shared" si="211"/>
        <v>3.15</v>
      </c>
      <c r="G82" s="156">
        <f t="shared" si="201"/>
        <v>12.81</v>
      </c>
      <c r="H82" s="155">
        <f>$B82*H38</f>
        <v>3.78</v>
      </c>
      <c r="I82" s="155">
        <f>$B82*I38</f>
        <v>2.1</v>
      </c>
      <c r="J82" s="155">
        <f>$B82*J38</f>
        <v>1.26</v>
      </c>
      <c r="K82" s="155">
        <f>$B82*K38</f>
        <v>2.1</v>
      </c>
      <c r="L82" s="156">
        <f t="shared" si="202"/>
        <v>9.24</v>
      </c>
      <c r="M82" s="155">
        <f>$B82*M38</f>
        <v>2.52</v>
      </c>
      <c r="N82" s="155">
        <f>$B82*N38</f>
        <v>1.68</v>
      </c>
      <c r="O82" s="155">
        <f>$B82*O38</f>
        <v>1.47</v>
      </c>
      <c r="P82" s="155">
        <f>$B82*P38</f>
        <v>2.31</v>
      </c>
      <c r="Q82" s="156">
        <f t="shared" si="203"/>
        <v>7.98</v>
      </c>
      <c r="R82" s="155">
        <f>$B82*R38</f>
        <v>2.73</v>
      </c>
      <c r="S82" s="155">
        <f>$B82*S38</f>
        <v>1.89</v>
      </c>
      <c r="T82" s="155">
        <f>$B82*T38</f>
        <v>1.68</v>
      </c>
      <c r="U82" s="155">
        <f>$B82*U38</f>
        <v>1.68</v>
      </c>
      <c r="V82" s="156">
        <f t="shared" si="204"/>
        <v>7.9799999999999995</v>
      </c>
      <c r="W82" s="155">
        <f>$B82*W38</f>
        <v>1.89</v>
      </c>
      <c r="X82" s="155">
        <f t="shared" ref="X82:Z82" si="212">$B82*X38</f>
        <v>1.89</v>
      </c>
      <c r="Y82" s="155">
        <f t="shared" si="212"/>
        <v>1.89</v>
      </c>
      <c r="Z82" s="155">
        <f t="shared" si="212"/>
        <v>1.89</v>
      </c>
      <c r="AA82" s="156">
        <f t="shared" si="206"/>
        <v>7.56</v>
      </c>
      <c r="AB82" s="155">
        <f t="shared" ref="AB82:AE82" si="213">$B82*AB38</f>
        <v>1.89</v>
      </c>
      <c r="AC82" s="155">
        <f t="shared" si="213"/>
        <v>1.89</v>
      </c>
      <c r="AD82" s="155">
        <f t="shared" si="213"/>
        <v>1.89</v>
      </c>
      <c r="AE82" s="155">
        <f t="shared" si="213"/>
        <v>1.89</v>
      </c>
      <c r="AF82" s="156">
        <f t="shared" si="208"/>
        <v>7.56</v>
      </c>
      <c r="AG82" s="155">
        <f t="shared" ref="AG82:AJ82" si="214">$B82*AG38</f>
        <v>1.89</v>
      </c>
      <c r="AH82" s="155">
        <f t="shared" si="214"/>
        <v>1.89</v>
      </c>
      <c r="AI82" s="155">
        <f t="shared" si="214"/>
        <v>1.89</v>
      </c>
      <c r="AJ82" s="155">
        <f t="shared" si="214"/>
        <v>1.89</v>
      </c>
      <c r="AK82" s="156">
        <f t="shared" ref="AK82:AN82" si="215">$B82*AK38</f>
        <v>7.56</v>
      </c>
      <c r="AL82" s="156">
        <f t="shared" si="215"/>
        <v>7.56</v>
      </c>
      <c r="AM82" s="156">
        <f t="shared" si="215"/>
        <v>7.56</v>
      </c>
      <c r="AN82" s="156">
        <f t="shared" si="215"/>
        <v>7.56</v>
      </c>
    </row>
    <row r="83" spans="1:40" ht="15" customHeight="1" x14ac:dyDescent="0.2">
      <c r="A83" s="121" t="s">
        <v>99</v>
      </c>
      <c r="B83" s="129">
        <v>0.18</v>
      </c>
      <c r="C83" s="155">
        <f t="shared" ref="C83:F83" si="216">$B83*C39</f>
        <v>1.26</v>
      </c>
      <c r="D83" s="155">
        <f t="shared" si="216"/>
        <v>0.89999999999999991</v>
      </c>
      <c r="E83" s="155">
        <f t="shared" si="216"/>
        <v>0.89999999999999991</v>
      </c>
      <c r="F83" s="155">
        <f t="shared" si="216"/>
        <v>1.6199999999999999</v>
      </c>
      <c r="G83" s="156">
        <f t="shared" si="201"/>
        <v>4.68</v>
      </c>
      <c r="H83" s="155">
        <f>$B83*H39</f>
        <v>1.08</v>
      </c>
      <c r="I83" s="155">
        <f>$B83*I39</f>
        <v>1.08</v>
      </c>
      <c r="J83" s="155">
        <f>$B83*J39</f>
        <v>3.06</v>
      </c>
      <c r="K83" s="155">
        <f>$B83*K39</f>
        <v>2.34</v>
      </c>
      <c r="L83" s="156">
        <f t="shared" si="202"/>
        <v>7.5600000000000005</v>
      </c>
      <c r="M83" s="155">
        <f>$B83*M39</f>
        <v>3.06</v>
      </c>
      <c r="N83" s="155">
        <f>$B83*N39</f>
        <v>2.16</v>
      </c>
      <c r="O83" s="155">
        <f>$B83*O39</f>
        <v>1.98</v>
      </c>
      <c r="P83" s="155">
        <f>$B83*P39</f>
        <v>2.34</v>
      </c>
      <c r="Q83" s="156">
        <f t="shared" si="203"/>
        <v>9.5400000000000009</v>
      </c>
      <c r="R83" s="155">
        <f>$B83*R39</f>
        <v>3.5999999999999996</v>
      </c>
      <c r="S83" s="155">
        <f>$B83*S39</f>
        <v>2.34</v>
      </c>
      <c r="T83" s="155">
        <f>$B83*T39</f>
        <v>1.6199999999999999</v>
      </c>
      <c r="U83" s="155">
        <f>$B83*U39</f>
        <v>3.5999999999999996</v>
      </c>
      <c r="V83" s="156">
        <f t="shared" si="204"/>
        <v>11.16</v>
      </c>
      <c r="W83" s="155">
        <f>$B83*W39</f>
        <v>3.5999999999999996</v>
      </c>
      <c r="X83" s="155">
        <f t="shared" ref="X83:Z83" si="217">$B83*X39</f>
        <v>3.5999999999999996</v>
      </c>
      <c r="Y83" s="155">
        <f t="shared" si="217"/>
        <v>3.5999999999999996</v>
      </c>
      <c r="Z83" s="155">
        <f t="shared" si="217"/>
        <v>3.5999999999999996</v>
      </c>
      <c r="AA83" s="156">
        <f t="shared" si="206"/>
        <v>14.399999999999999</v>
      </c>
      <c r="AB83" s="155">
        <f t="shared" ref="AB83:AE83" si="218">$B83*AB39</f>
        <v>4.5</v>
      </c>
      <c r="AC83" s="155">
        <f t="shared" si="218"/>
        <v>4.5</v>
      </c>
      <c r="AD83" s="155">
        <f t="shared" si="218"/>
        <v>4.5</v>
      </c>
      <c r="AE83" s="155">
        <f t="shared" si="218"/>
        <v>4.5</v>
      </c>
      <c r="AF83" s="156">
        <f t="shared" si="208"/>
        <v>18</v>
      </c>
      <c r="AG83" s="155">
        <f t="shared" ref="AG83:AJ83" si="219">$B83*AG39</f>
        <v>4.5</v>
      </c>
      <c r="AH83" s="155">
        <f t="shared" si="219"/>
        <v>4.5</v>
      </c>
      <c r="AI83" s="155">
        <f t="shared" si="219"/>
        <v>4.5</v>
      </c>
      <c r="AJ83" s="155">
        <f t="shared" si="219"/>
        <v>4.5</v>
      </c>
      <c r="AK83" s="156">
        <f t="shared" ref="AK83:AN83" si="220">$B83*AK39</f>
        <v>18</v>
      </c>
      <c r="AL83" s="156">
        <f t="shared" si="220"/>
        <v>18</v>
      </c>
      <c r="AM83" s="156">
        <f t="shared" si="220"/>
        <v>18</v>
      </c>
      <c r="AN83" s="156">
        <f t="shared" si="220"/>
        <v>18</v>
      </c>
    </row>
    <row r="84" spans="1:40" ht="15" customHeight="1" x14ac:dyDescent="0.2">
      <c r="A84" s="121" t="s">
        <v>100</v>
      </c>
      <c r="B84" s="129">
        <v>0.11899999999999999</v>
      </c>
      <c r="C84" s="155">
        <f t="shared" ref="C84:F84" si="221">$B84*C40</f>
        <v>0</v>
      </c>
      <c r="D84" s="155">
        <f t="shared" si="221"/>
        <v>0</v>
      </c>
      <c r="E84" s="155">
        <f t="shared" si="221"/>
        <v>0</v>
      </c>
      <c r="F84" s="155">
        <f t="shared" si="221"/>
        <v>0</v>
      </c>
      <c r="G84" s="156">
        <f t="shared" si="201"/>
        <v>0</v>
      </c>
      <c r="H84" s="155">
        <f>$B84*H40</f>
        <v>0</v>
      </c>
      <c r="I84" s="155">
        <f>$B84*I40</f>
        <v>0</v>
      </c>
      <c r="J84" s="155">
        <f>$B84*J40</f>
        <v>0</v>
      </c>
      <c r="K84" s="155">
        <f>$B84*K40</f>
        <v>0</v>
      </c>
      <c r="L84" s="156">
        <f t="shared" si="202"/>
        <v>0</v>
      </c>
      <c r="M84" s="155">
        <f>$B84*M40</f>
        <v>0</v>
      </c>
      <c r="N84" s="155">
        <f>$B84*N40</f>
        <v>0</v>
      </c>
      <c r="O84" s="155">
        <f>$B84*O40</f>
        <v>0</v>
      </c>
      <c r="P84" s="155">
        <f>$B84*P40</f>
        <v>0</v>
      </c>
      <c r="Q84" s="156">
        <f t="shared" si="203"/>
        <v>0</v>
      </c>
      <c r="R84" s="155">
        <f>$B84*R40</f>
        <v>0</v>
      </c>
      <c r="S84" s="155">
        <f>$B84*S40</f>
        <v>0</v>
      </c>
      <c r="T84" s="155">
        <f>$B84*T40</f>
        <v>0</v>
      </c>
      <c r="U84" s="155">
        <f>$B84*U40</f>
        <v>0</v>
      </c>
      <c r="V84" s="156">
        <f t="shared" si="204"/>
        <v>0</v>
      </c>
      <c r="W84" s="155">
        <f>$B84*W40</f>
        <v>0</v>
      </c>
      <c r="X84" s="155">
        <f t="shared" ref="X84:Z84" si="222">$B84*X40</f>
        <v>0</v>
      </c>
      <c r="Y84" s="155">
        <f t="shared" si="222"/>
        <v>0</v>
      </c>
      <c r="Z84" s="155">
        <f t="shared" si="222"/>
        <v>0</v>
      </c>
      <c r="AA84" s="156">
        <f t="shared" si="206"/>
        <v>0</v>
      </c>
      <c r="AB84" s="155">
        <f t="shared" ref="AB84:AE84" si="223">$B84*AB40</f>
        <v>0</v>
      </c>
      <c r="AC84" s="155">
        <f t="shared" si="223"/>
        <v>0</v>
      </c>
      <c r="AD84" s="155">
        <f t="shared" si="223"/>
        <v>0</v>
      </c>
      <c r="AE84" s="155">
        <f t="shared" si="223"/>
        <v>0</v>
      </c>
      <c r="AF84" s="156">
        <f t="shared" si="208"/>
        <v>0</v>
      </c>
      <c r="AG84" s="155">
        <f t="shared" ref="AG84:AJ84" si="224">$B84*AG40</f>
        <v>0</v>
      </c>
      <c r="AH84" s="155">
        <f t="shared" si="224"/>
        <v>0</v>
      </c>
      <c r="AI84" s="155">
        <f t="shared" si="224"/>
        <v>0</v>
      </c>
      <c r="AJ84" s="155">
        <f t="shared" si="224"/>
        <v>0</v>
      </c>
      <c r="AK84" s="156">
        <f t="shared" ref="AK84:AN84" si="225">$B84*AK40</f>
        <v>0</v>
      </c>
      <c r="AL84" s="156">
        <f t="shared" si="225"/>
        <v>0</v>
      </c>
      <c r="AM84" s="156">
        <f t="shared" si="225"/>
        <v>0</v>
      </c>
      <c r="AN84" s="156">
        <f t="shared" si="225"/>
        <v>0</v>
      </c>
    </row>
    <row r="85" spans="1:40" ht="15" customHeight="1" x14ac:dyDescent="0.2">
      <c r="A85" s="121" t="s">
        <v>101</v>
      </c>
      <c r="B85" s="129">
        <v>0.09</v>
      </c>
      <c r="C85" s="155">
        <f t="shared" ref="C85:F85" si="226">$B85*C41</f>
        <v>0</v>
      </c>
      <c r="D85" s="155">
        <f t="shared" si="226"/>
        <v>0</v>
      </c>
      <c r="E85" s="155">
        <f t="shared" si="226"/>
        <v>0</v>
      </c>
      <c r="F85" s="155">
        <f t="shared" si="226"/>
        <v>0</v>
      </c>
      <c r="G85" s="156">
        <f t="shared" si="201"/>
        <v>0</v>
      </c>
      <c r="H85" s="155">
        <f>$B85*H41</f>
        <v>0</v>
      </c>
      <c r="I85" s="155">
        <f>$B85*I41</f>
        <v>0</v>
      </c>
      <c r="J85" s="155">
        <f>$B85*J41</f>
        <v>0</v>
      </c>
      <c r="K85" s="155">
        <f>$B85*K41</f>
        <v>0</v>
      </c>
      <c r="L85" s="156">
        <f t="shared" si="202"/>
        <v>0</v>
      </c>
      <c r="M85" s="155">
        <f>$B85*M41</f>
        <v>0</v>
      </c>
      <c r="N85" s="155">
        <f>$B85*N41</f>
        <v>0</v>
      </c>
      <c r="O85" s="155">
        <f>$B85*O41</f>
        <v>0</v>
      </c>
      <c r="P85" s="155">
        <f>$B85*P41</f>
        <v>0</v>
      </c>
      <c r="Q85" s="156">
        <f t="shared" si="203"/>
        <v>0</v>
      </c>
      <c r="R85" s="155">
        <f>$B85*R41</f>
        <v>0</v>
      </c>
      <c r="S85" s="155">
        <f>$B85*S41</f>
        <v>0</v>
      </c>
      <c r="T85" s="155">
        <f>$B85*T41</f>
        <v>0</v>
      </c>
      <c r="U85" s="155">
        <f>$B85*U41</f>
        <v>0</v>
      </c>
      <c r="V85" s="156">
        <f t="shared" si="204"/>
        <v>0</v>
      </c>
      <c r="W85" s="155">
        <f>$B85*W41</f>
        <v>0</v>
      </c>
      <c r="X85" s="155">
        <f t="shared" ref="X85:Z85" si="227">$B85*X41</f>
        <v>0</v>
      </c>
      <c r="Y85" s="155">
        <f t="shared" si="227"/>
        <v>0</v>
      </c>
      <c r="Z85" s="155">
        <f t="shared" si="227"/>
        <v>0</v>
      </c>
      <c r="AA85" s="156">
        <f t="shared" si="206"/>
        <v>0</v>
      </c>
      <c r="AB85" s="155">
        <f t="shared" ref="AB85:AE85" si="228">$B85*AB41</f>
        <v>0</v>
      </c>
      <c r="AC85" s="155">
        <f t="shared" si="228"/>
        <v>0</v>
      </c>
      <c r="AD85" s="155">
        <f t="shared" si="228"/>
        <v>0</v>
      </c>
      <c r="AE85" s="155">
        <f t="shared" si="228"/>
        <v>0</v>
      </c>
      <c r="AF85" s="156">
        <f t="shared" si="208"/>
        <v>0</v>
      </c>
      <c r="AG85" s="155">
        <f t="shared" ref="AG85:AJ85" si="229">$B85*AG41</f>
        <v>0</v>
      </c>
      <c r="AH85" s="155">
        <f t="shared" si="229"/>
        <v>0</v>
      </c>
      <c r="AI85" s="155">
        <f t="shared" si="229"/>
        <v>0</v>
      </c>
      <c r="AJ85" s="155">
        <f t="shared" si="229"/>
        <v>0</v>
      </c>
      <c r="AK85" s="156">
        <f t="shared" ref="AK85:AN85" si="230">$B85*AK41</f>
        <v>0</v>
      </c>
      <c r="AL85" s="156">
        <f t="shared" si="230"/>
        <v>0</v>
      </c>
      <c r="AM85" s="156">
        <f t="shared" si="230"/>
        <v>0</v>
      </c>
      <c r="AN85" s="156">
        <f t="shared" si="230"/>
        <v>0</v>
      </c>
    </row>
    <row r="86" spans="1:40" ht="15" customHeight="1" x14ac:dyDescent="0.2">
      <c r="A86" s="12" t="s">
        <v>111</v>
      </c>
      <c r="B86" s="13"/>
      <c r="C86" s="34">
        <f t="shared" ref="C86:F86" si="231">SUM(C80:C85)</f>
        <v>4.41</v>
      </c>
      <c r="D86" s="34">
        <f t="shared" si="231"/>
        <v>4.26</v>
      </c>
      <c r="E86" s="34">
        <f t="shared" si="231"/>
        <v>4.05</v>
      </c>
      <c r="F86" s="34">
        <f t="shared" si="231"/>
        <v>4.7699999999999996</v>
      </c>
      <c r="G86" s="143">
        <f>SUM(G80:G85)</f>
        <v>17.490000000000002</v>
      </c>
      <c r="H86" s="34">
        <f t="shared" ref="H86:W86" si="232">SUM(H80:H85)</f>
        <v>4.8599999999999994</v>
      </c>
      <c r="I86" s="34">
        <f t="shared" si="232"/>
        <v>3.18</v>
      </c>
      <c r="J86" s="34">
        <f t="shared" si="232"/>
        <v>4.32</v>
      </c>
      <c r="K86" s="34">
        <f t="shared" si="232"/>
        <v>4.4399999999999995</v>
      </c>
      <c r="L86" s="143">
        <f>SUM(L80:L85)</f>
        <v>16.8</v>
      </c>
      <c r="M86" s="34">
        <f t="shared" si="232"/>
        <v>5.58</v>
      </c>
      <c r="N86" s="34">
        <f t="shared" si="232"/>
        <v>3.84</v>
      </c>
      <c r="O86" s="34">
        <f t="shared" si="232"/>
        <v>3.45</v>
      </c>
      <c r="P86" s="34">
        <f t="shared" si="232"/>
        <v>4.6500000000000004</v>
      </c>
      <c r="Q86" s="143">
        <f>SUM(Q80:Q85)</f>
        <v>17.520000000000003</v>
      </c>
      <c r="R86" s="34">
        <f t="shared" si="232"/>
        <v>9.9</v>
      </c>
      <c r="S86" s="34">
        <f t="shared" si="232"/>
        <v>7.8</v>
      </c>
      <c r="T86" s="34">
        <f t="shared" si="232"/>
        <v>7.4649999999999999</v>
      </c>
      <c r="U86" s="34">
        <f t="shared" si="232"/>
        <v>11.824999999999999</v>
      </c>
      <c r="V86" s="143">
        <f>SUM(V80:V85)</f>
        <v>36.99</v>
      </c>
      <c r="W86" s="34">
        <f t="shared" si="232"/>
        <v>10.25</v>
      </c>
      <c r="X86" s="34">
        <f t="shared" ref="X86:Z86" si="233">SUM(X80:X85)</f>
        <v>10.25</v>
      </c>
      <c r="Y86" s="34">
        <f t="shared" si="233"/>
        <v>10.25</v>
      </c>
      <c r="Z86" s="34">
        <f t="shared" si="233"/>
        <v>10.25</v>
      </c>
      <c r="AA86" s="143">
        <f>SUM(AA80:AA85)</f>
        <v>41</v>
      </c>
      <c r="AB86" s="34">
        <f t="shared" ref="AB86:AE86" si="234">SUM(AB80:AB85)</f>
        <v>11.149999999999999</v>
      </c>
      <c r="AC86" s="34">
        <f t="shared" si="234"/>
        <v>11.149999999999999</v>
      </c>
      <c r="AD86" s="34">
        <f t="shared" si="234"/>
        <v>11.149999999999999</v>
      </c>
      <c r="AE86" s="34">
        <f t="shared" si="234"/>
        <v>11.149999999999999</v>
      </c>
      <c r="AF86" s="143">
        <f>SUM(AF80:AF85)</f>
        <v>44.599999999999994</v>
      </c>
      <c r="AG86" s="34">
        <f t="shared" ref="AG86:AJ86" si="235">SUM(AG80:AG85)</f>
        <v>11.149999999999999</v>
      </c>
      <c r="AH86" s="34">
        <f t="shared" si="235"/>
        <v>11.149999999999999</v>
      </c>
      <c r="AI86" s="34">
        <f t="shared" si="235"/>
        <v>11.149999999999999</v>
      </c>
      <c r="AJ86" s="34">
        <f t="shared" si="235"/>
        <v>11.149999999999999</v>
      </c>
      <c r="AK86" s="143">
        <f t="shared" ref="AK86:AN86" si="236">SUM(AK80:AK85)</f>
        <v>44.599999999999994</v>
      </c>
      <c r="AL86" s="143">
        <f t="shared" si="236"/>
        <v>44.599999999999994</v>
      </c>
      <c r="AM86" s="143">
        <f t="shared" si="236"/>
        <v>44.599999999999994</v>
      </c>
      <c r="AN86" s="143">
        <f t="shared" si="236"/>
        <v>44.599999999999994</v>
      </c>
    </row>
    <row r="87" spans="1:40" ht="15" customHeight="1" x14ac:dyDescent="0.2">
      <c r="B87" s="160"/>
      <c r="C87" s="160"/>
      <c r="D87" s="160"/>
      <c r="E87" s="160"/>
      <c r="G87" s="156"/>
      <c r="H87" s="155"/>
      <c r="I87" s="155"/>
      <c r="J87" s="155"/>
      <c r="K87" s="155"/>
      <c r="L87" s="156"/>
      <c r="M87" s="155"/>
      <c r="N87" s="155"/>
      <c r="O87" s="155"/>
      <c r="P87" s="155"/>
      <c r="Q87" s="156"/>
      <c r="R87" s="155"/>
      <c r="S87" s="155"/>
      <c r="T87" s="155"/>
      <c r="U87" s="155"/>
      <c r="V87" s="156"/>
      <c r="W87" s="155"/>
      <c r="X87" s="155"/>
      <c r="Y87" s="155"/>
      <c r="Z87" s="155"/>
      <c r="AA87" s="156"/>
      <c r="AB87" s="155"/>
      <c r="AC87" s="155"/>
      <c r="AD87" s="155"/>
      <c r="AE87" s="155"/>
      <c r="AF87" s="156"/>
      <c r="AG87" s="155"/>
      <c r="AH87" s="155"/>
      <c r="AI87" s="155"/>
      <c r="AJ87" s="155"/>
      <c r="AK87" s="156"/>
      <c r="AL87" s="156"/>
      <c r="AM87" s="156"/>
      <c r="AN87" s="156"/>
    </row>
    <row r="88" spans="1:40" ht="15" customHeight="1" x14ac:dyDescent="0.2">
      <c r="A88" s="12" t="s">
        <v>112</v>
      </c>
      <c r="B88" s="13"/>
      <c r="C88" s="34">
        <f t="shared" ref="C88:F88" si="237">SUM(C65,C72,C77,C86)</f>
        <v>108.3295</v>
      </c>
      <c r="D88" s="34">
        <f t="shared" si="237"/>
        <v>66.582999999999998</v>
      </c>
      <c r="E88" s="34">
        <f t="shared" si="237"/>
        <v>65.072999999999993</v>
      </c>
      <c r="F88" s="34">
        <f t="shared" si="237"/>
        <v>65.337999999999994</v>
      </c>
      <c r="G88" s="143">
        <f>SUM(G65,G72,G77,G86)</f>
        <v>305.32349999999997</v>
      </c>
      <c r="H88" s="34">
        <f>SUM(H65,H72,H77,H86)</f>
        <v>76.48299999999999</v>
      </c>
      <c r="I88" s="34">
        <f>SUM(I65,I72,I77,I86)</f>
        <v>42.703499999999998</v>
      </c>
      <c r="J88" s="34">
        <f>SUM(J65,J72,J77,J86)</f>
        <v>44.073500000000003</v>
      </c>
      <c r="K88" s="34">
        <f>SUM(K65,K72,K77,K86)</f>
        <v>40.713499999999996</v>
      </c>
      <c r="L88" s="143">
        <f>SUM(L65,L72,L77,L86)</f>
        <v>203.9735</v>
      </c>
      <c r="M88" s="34">
        <f>SUM(M65,M72,M77,M86)</f>
        <v>44.148499999999999</v>
      </c>
      <c r="N88" s="34">
        <f>SUM(N65,N72,N77,N86)</f>
        <v>59.717000000000013</v>
      </c>
      <c r="O88" s="34">
        <f>SUM(O65,O72,O77,O86)</f>
        <v>52.207000000000008</v>
      </c>
      <c r="P88" s="34">
        <f>SUM(P65,P72,P77,P86)</f>
        <v>55.097000000000001</v>
      </c>
      <c r="Q88" s="143">
        <f>SUM(Q65,Q72,Q77,Q86)</f>
        <v>211.16950000000003</v>
      </c>
      <c r="R88" s="34">
        <f>SUM(R65,R72,R77,R86)</f>
        <v>75.362000000000023</v>
      </c>
      <c r="S88" s="34">
        <f>SUM(S65,S72,S77,S86)</f>
        <v>75.616000000000014</v>
      </c>
      <c r="T88" s="34">
        <f>SUM(T65,T72,T77,T86)</f>
        <v>74.413000000000011</v>
      </c>
      <c r="U88" s="34">
        <f>SUM(U65,U72,U77,U86)</f>
        <v>73.128</v>
      </c>
      <c r="V88" s="143">
        <f>SUM(V65,V72,V77,V86)</f>
        <v>298.51900000000001</v>
      </c>
      <c r="W88" s="34">
        <f>SUM(W65,W72,W77,W86)</f>
        <v>96.685000000000016</v>
      </c>
      <c r="X88" s="34">
        <f>SUM(X65,X72,X77,X86)</f>
        <v>78.440000000000012</v>
      </c>
      <c r="Y88" s="34">
        <f>SUM(Y65,Y72,Y77,Y86)</f>
        <v>80.885000000000005</v>
      </c>
      <c r="Z88" s="34">
        <f>SUM(Z65,Z72,Z77,Z86)</f>
        <v>80.215000000000003</v>
      </c>
      <c r="AA88" s="143">
        <f>SUM(AA65,AA72,AA77,AA86)</f>
        <v>336.22500000000002</v>
      </c>
      <c r="AB88" s="34">
        <f>SUM(AB65,AB72,AB77,AB86)</f>
        <v>87.88</v>
      </c>
      <c r="AC88" s="34">
        <f>SUM(AC65,AC72,AC77,AC86)</f>
        <v>94.587999999999994</v>
      </c>
      <c r="AD88" s="34">
        <f>SUM(AD65,AD72,AD77,AD86)</f>
        <v>100.39599999999999</v>
      </c>
      <c r="AE88" s="34">
        <f>SUM(AE65,AE72,AE77,AE86)</f>
        <v>103.096</v>
      </c>
      <c r="AF88" s="143">
        <f>SUM(AF65,AF72,AF77,AF86)</f>
        <v>385.96000000000004</v>
      </c>
      <c r="AG88" s="34">
        <f>SUM(AG65,AG72,AG77,AG86)</f>
        <v>105.46600000000001</v>
      </c>
      <c r="AH88" s="34">
        <f>SUM(AH65,AH72,AH77,AH86)</f>
        <v>106.74100000000001</v>
      </c>
      <c r="AI88" s="34">
        <f>SUM(AI65,AI72,AI77,AI86)</f>
        <v>112.05099999999999</v>
      </c>
      <c r="AJ88" s="34">
        <f>SUM(AJ65,AJ72,AJ77,AJ86)</f>
        <v>116.17599999999999</v>
      </c>
      <c r="AK88" s="143">
        <f>SUM(AK65,AK72,AK77,AK86)</f>
        <v>440.43399999999997</v>
      </c>
      <c r="AL88" s="143">
        <f>SUM(AL65,AL72,AL77,AL86)</f>
        <v>474.36400000000003</v>
      </c>
      <c r="AM88" s="143">
        <f t="shared" ref="AM88:AN88" si="238">SUM(AM65,AM72,AM77,AM86)</f>
        <v>474.36400000000003</v>
      </c>
      <c r="AN88" s="143">
        <f t="shared" si="238"/>
        <v>474.36400000000003</v>
      </c>
    </row>
    <row r="89" spans="1:40" ht="15" customHeight="1" x14ac:dyDescent="0.2">
      <c r="B89" s="160"/>
      <c r="C89" s="160"/>
      <c r="D89" s="160"/>
      <c r="E89" s="160"/>
      <c r="G89" s="156"/>
      <c r="H89" s="155"/>
      <c r="I89" s="155"/>
      <c r="J89" s="155"/>
      <c r="K89" s="155"/>
      <c r="L89" s="156"/>
      <c r="M89" s="155"/>
      <c r="N89" s="155"/>
      <c r="O89" s="155"/>
      <c r="P89" s="155"/>
      <c r="Q89" s="156"/>
      <c r="R89" s="155"/>
      <c r="S89" s="155"/>
      <c r="T89" s="155"/>
      <c r="U89" s="155"/>
      <c r="V89" s="156"/>
      <c r="W89" s="155"/>
      <c r="X89" s="155"/>
      <c r="Y89" s="155"/>
      <c r="Z89" s="155"/>
      <c r="AA89" s="156"/>
      <c r="AB89" s="155"/>
      <c r="AC89" s="155"/>
      <c r="AD89" s="155"/>
      <c r="AE89" s="155"/>
      <c r="AF89" s="156"/>
      <c r="AG89" s="155"/>
      <c r="AH89" s="155"/>
      <c r="AI89" s="155"/>
      <c r="AJ89" s="155"/>
      <c r="AK89" s="156"/>
      <c r="AL89" s="156"/>
      <c r="AM89" s="156"/>
      <c r="AN89" s="156"/>
    </row>
    <row r="90" spans="1:40" ht="15" customHeight="1" x14ac:dyDescent="0.2">
      <c r="A90" s="1" t="s">
        <v>406</v>
      </c>
      <c r="B90" s="160"/>
      <c r="C90" s="155">
        <f t="shared" ref="C90:G90" si="239">C109-C88</f>
        <v>32.178500000000014</v>
      </c>
      <c r="D90" s="155">
        <f t="shared" si="239"/>
        <v>107.75999999999999</v>
      </c>
      <c r="E90" s="155">
        <f t="shared" si="239"/>
        <v>109.004</v>
      </c>
      <c r="F90" s="155">
        <f t="shared" si="239"/>
        <v>105.07000000000002</v>
      </c>
      <c r="G90" s="156">
        <f t="shared" si="239"/>
        <v>354.01250000000005</v>
      </c>
      <c r="H90" s="155">
        <f t="shared" ref="H90:W90" si="240">H109-H88</f>
        <v>82.183000000000007</v>
      </c>
      <c r="I90" s="155">
        <f t="shared" si="240"/>
        <v>101.90650000000002</v>
      </c>
      <c r="J90" s="155">
        <f t="shared" si="240"/>
        <v>19.730499999999999</v>
      </c>
      <c r="K90" s="155">
        <f t="shared" si="240"/>
        <v>26.512499999999946</v>
      </c>
      <c r="L90" s="156">
        <f t="shared" si="240"/>
        <v>230.33249999999998</v>
      </c>
      <c r="M90" s="155">
        <f t="shared" si="240"/>
        <v>31.932500000000005</v>
      </c>
      <c r="N90" s="155">
        <f t="shared" si="240"/>
        <v>42.189999999999984</v>
      </c>
      <c r="O90" s="155">
        <f t="shared" si="240"/>
        <v>44.082999999999998</v>
      </c>
      <c r="P90" s="155">
        <f t="shared" si="240"/>
        <v>57.167999999999985</v>
      </c>
      <c r="Q90" s="156">
        <f t="shared" ref="Q90" si="241">Q109-Q88</f>
        <v>175.37349999999998</v>
      </c>
      <c r="R90" s="155">
        <f t="shared" si="240"/>
        <v>29.46399999999997</v>
      </c>
      <c r="S90" s="155">
        <f t="shared" si="240"/>
        <v>47.272999999999982</v>
      </c>
      <c r="T90" s="155">
        <f t="shared" si="240"/>
        <v>57.554999999999978</v>
      </c>
      <c r="U90" s="155">
        <f t="shared" si="240"/>
        <v>66.626999999999995</v>
      </c>
      <c r="V90" s="156">
        <f t="shared" si="240"/>
        <v>200.91899999999998</v>
      </c>
      <c r="W90" s="155">
        <f t="shared" si="240"/>
        <v>33.050979999999996</v>
      </c>
      <c r="X90" s="208">
        <f>G90/4*90%</f>
        <v>79.65281250000001</v>
      </c>
      <c r="Y90" s="208">
        <f t="shared" ref="Y90:AJ90" si="242">X90</f>
        <v>79.65281250000001</v>
      </c>
      <c r="Z90" s="208">
        <f t="shared" si="242"/>
        <v>79.65281250000001</v>
      </c>
      <c r="AA90" s="156">
        <f>SUM(W90:Z90)</f>
        <v>272.00941750000004</v>
      </c>
      <c r="AB90" s="208">
        <f>G90/4*95%</f>
        <v>84.077968750000011</v>
      </c>
      <c r="AC90" s="208">
        <f t="shared" si="242"/>
        <v>84.077968750000011</v>
      </c>
      <c r="AD90" s="208">
        <f t="shared" si="242"/>
        <v>84.077968750000011</v>
      </c>
      <c r="AE90" s="208">
        <f t="shared" si="242"/>
        <v>84.077968750000011</v>
      </c>
      <c r="AF90" s="156">
        <f>SUM(AB90:AE90)</f>
        <v>336.31187500000004</v>
      </c>
      <c r="AG90" s="208">
        <f>G90/4*105%</f>
        <v>92.928281250000012</v>
      </c>
      <c r="AH90" s="208">
        <f t="shared" si="242"/>
        <v>92.928281250000012</v>
      </c>
      <c r="AI90" s="208">
        <f t="shared" si="242"/>
        <v>92.928281250000012</v>
      </c>
      <c r="AJ90" s="208">
        <f t="shared" si="242"/>
        <v>92.928281250000012</v>
      </c>
      <c r="AK90" s="156">
        <f>SUM(AG90:AJ90)</f>
        <v>371.71312500000005</v>
      </c>
      <c r="AL90" s="156">
        <f>AK90*1.05</f>
        <v>390.29878125000005</v>
      </c>
      <c r="AM90" s="156">
        <f t="shared" ref="AM90:AN90" si="243">AL90*1.05</f>
        <v>409.8137203125001</v>
      </c>
      <c r="AN90" s="156">
        <f t="shared" si="243"/>
        <v>430.30440632812514</v>
      </c>
    </row>
    <row r="91" spans="1:40" ht="15" customHeight="1" x14ac:dyDescent="0.2">
      <c r="B91" s="160"/>
      <c r="C91" s="160"/>
      <c r="D91" s="160"/>
      <c r="E91" s="160"/>
      <c r="G91" s="156"/>
      <c r="H91" s="155"/>
      <c r="I91" s="155"/>
      <c r="J91" s="155"/>
      <c r="K91" s="155"/>
      <c r="L91" s="156"/>
      <c r="M91" s="155"/>
      <c r="N91" s="155"/>
      <c r="O91" s="155"/>
      <c r="P91" s="155"/>
      <c r="Q91" s="156"/>
      <c r="R91" s="155"/>
      <c r="S91" s="155"/>
      <c r="T91" s="155"/>
      <c r="U91" s="155"/>
      <c r="V91" s="156"/>
      <c r="W91" s="155"/>
      <c r="X91" s="155"/>
      <c r="Y91" s="155"/>
      <c r="Z91" s="155"/>
      <c r="AA91" s="156"/>
      <c r="AB91" s="155"/>
      <c r="AC91" s="155"/>
      <c r="AD91" s="155"/>
      <c r="AE91" s="155"/>
      <c r="AF91" s="156"/>
      <c r="AG91" s="155"/>
      <c r="AH91" s="155"/>
      <c r="AI91" s="155"/>
      <c r="AJ91" s="155"/>
      <c r="AK91" s="156"/>
      <c r="AL91" s="156"/>
      <c r="AM91" s="156"/>
      <c r="AN91" s="156"/>
    </row>
    <row r="92" spans="1:40" ht="15" customHeight="1" x14ac:dyDescent="0.2">
      <c r="A92" s="126" t="s">
        <v>405</v>
      </c>
      <c r="B92" s="127" t="s">
        <v>403</v>
      </c>
      <c r="C92" s="127"/>
      <c r="D92" s="127"/>
      <c r="E92" s="127"/>
      <c r="F92" s="126"/>
      <c r="G92" s="128"/>
      <c r="H92" s="126"/>
      <c r="I92" s="126"/>
      <c r="J92" s="126"/>
      <c r="K92" s="126"/>
      <c r="L92" s="128"/>
      <c r="M92" s="126"/>
      <c r="N92" s="126"/>
      <c r="O92" s="126"/>
      <c r="P92" s="126"/>
      <c r="Q92" s="128"/>
      <c r="R92" s="126"/>
      <c r="S92" s="126"/>
      <c r="T92" s="126"/>
      <c r="U92" s="126"/>
      <c r="V92" s="128"/>
      <c r="W92" s="126"/>
      <c r="X92" s="126"/>
      <c r="Y92" s="126"/>
      <c r="Z92" s="126"/>
      <c r="AA92" s="128"/>
      <c r="AB92" s="126"/>
      <c r="AC92" s="126"/>
      <c r="AD92" s="126"/>
      <c r="AE92" s="126"/>
      <c r="AF92" s="128"/>
      <c r="AG92" s="126"/>
      <c r="AH92" s="126"/>
      <c r="AI92" s="126"/>
      <c r="AJ92" s="126"/>
      <c r="AK92" s="128"/>
      <c r="AL92" s="128"/>
      <c r="AM92" s="128"/>
      <c r="AN92" s="128"/>
    </row>
    <row r="93" spans="1:40" ht="15" customHeight="1" x14ac:dyDescent="0.2">
      <c r="B93" s="160"/>
      <c r="C93" s="160"/>
      <c r="D93" s="160"/>
      <c r="E93" s="160"/>
      <c r="G93" s="156"/>
      <c r="H93" s="155"/>
      <c r="I93" s="155"/>
      <c r="J93" s="155"/>
      <c r="K93" s="155"/>
      <c r="L93" s="156"/>
      <c r="M93" s="155"/>
      <c r="N93" s="155"/>
      <c r="O93" s="155"/>
      <c r="P93" s="155"/>
      <c r="Q93" s="156"/>
      <c r="R93" s="155"/>
      <c r="S93" s="155"/>
      <c r="T93" s="155"/>
      <c r="U93" s="155"/>
      <c r="V93" s="156"/>
      <c r="W93" s="155"/>
      <c r="X93" s="155"/>
      <c r="Y93" s="155"/>
      <c r="Z93" s="155"/>
      <c r="AA93" s="156"/>
      <c r="AB93" s="155"/>
      <c r="AC93" s="155"/>
      <c r="AD93" s="155"/>
      <c r="AE93" s="155"/>
      <c r="AF93" s="156"/>
      <c r="AG93" s="155"/>
      <c r="AH93" s="155"/>
      <c r="AI93" s="155"/>
      <c r="AJ93" s="155"/>
      <c r="AK93" s="156"/>
      <c r="AL93" s="156"/>
      <c r="AM93" s="156"/>
      <c r="AN93" s="156"/>
    </row>
    <row r="94" spans="1:40" ht="15" customHeight="1" x14ac:dyDescent="0.2">
      <c r="A94" s="121" t="s">
        <v>102</v>
      </c>
      <c r="B94" s="129">
        <v>0.33</v>
      </c>
      <c r="C94" s="155">
        <f t="shared" ref="C94:F94" si="244">$B94*C45</f>
        <v>0</v>
      </c>
      <c r="D94" s="155">
        <f t="shared" si="244"/>
        <v>0</v>
      </c>
      <c r="E94" s="155">
        <f t="shared" si="244"/>
        <v>0</v>
      </c>
      <c r="F94" s="155">
        <f t="shared" si="244"/>
        <v>0</v>
      </c>
      <c r="G94" s="156">
        <f>SUM(C94:F94)</f>
        <v>0</v>
      </c>
      <c r="H94" s="155">
        <f>$B94*H45</f>
        <v>1.32</v>
      </c>
      <c r="I94" s="155">
        <f>$B94*I45</f>
        <v>0</v>
      </c>
      <c r="J94" s="155">
        <f>$B94*J45</f>
        <v>0.99</v>
      </c>
      <c r="K94" s="155">
        <f>$B94*K45</f>
        <v>0</v>
      </c>
      <c r="L94" s="156">
        <f>SUM(H94:K94)</f>
        <v>2.31</v>
      </c>
      <c r="M94" s="155">
        <f>$B94*M45</f>
        <v>0.33</v>
      </c>
      <c r="N94" s="155">
        <f>$B94*N45</f>
        <v>0.99</v>
      </c>
      <c r="O94" s="155">
        <f>$B94*O45</f>
        <v>1.6500000000000001</v>
      </c>
      <c r="P94" s="155">
        <f>$B94*P45</f>
        <v>0.99</v>
      </c>
      <c r="Q94" s="156">
        <f>SUM(M94:P94)</f>
        <v>3.96</v>
      </c>
      <c r="R94" s="155">
        <f>$B94*R45</f>
        <v>1.6500000000000001</v>
      </c>
      <c r="S94" s="155">
        <f>$B94*S45</f>
        <v>0.33</v>
      </c>
      <c r="T94" s="155">
        <f>$B94*T45</f>
        <v>1.32</v>
      </c>
      <c r="U94" s="155">
        <f>$B94*U45</f>
        <v>1.32</v>
      </c>
      <c r="V94" s="156">
        <f>SUM(R94:U94)</f>
        <v>4.62</v>
      </c>
      <c r="W94" s="155">
        <f>$B94*W45</f>
        <v>0.99</v>
      </c>
      <c r="X94" s="155">
        <f>$B94*X45</f>
        <v>0.99</v>
      </c>
      <c r="Y94" s="155">
        <f>$B94*Y45</f>
        <v>0.99</v>
      </c>
      <c r="Z94" s="155">
        <f>$B94*Z45</f>
        <v>0.99</v>
      </c>
      <c r="AA94" s="156">
        <f>SUM(W94:Z94)</f>
        <v>3.96</v>
      </c>
      <c r="AB94" s="155">
        <f>$B94*AB45</f>
        <v>0.99</v>
      </c>
      <c r="AC94" s="155">
        <f>$B94*AC45</f>
        <v>0.99</v>
      </c>
      <c r="AD94" s="155">
        <f>$B94*AD45</f>
        <v>0.99</v>
      </c>
      <c r="AE94" s="155">
        <f>$B94*AE45</f>
        <v>0.99</v>
      </c>
      <c r="AF94" s="156">
        <f>SUM(AB94:AE94)</f>
        <v>3.96</v>
      </c>
      <c r="AG94" s="155">
        <f>$B94*AG45</f>
        <v>0.99</v>
      </c>
      <c r="AH94" s="155">
        <f>$B94*AH45</f>
        <v>0.99</v>
      </c>
      <c r="AI94" s="155">
        <f>$B94*AI45</f>
        <v>0.99</v>
      </c>
      <c r="AJ94" s="155">
        <f>$B94*AJ45</f>
        <v>0.99</v>
      </c>
      <c r="AK94" s="156">
        <f>SUM(AG94:AJ94)</f>
        <v>3.96</v>
      </c>
      <c r="AL94" s="156">
        <f>$B94*AL45</f>
        <v>3.96</v>
      </c>
      <c r="AM94" s="156">
        <f t="shared" ref="AM94:AN94" si="245">$B94*AM45</f>
        <v>3.96</v>
      </c>
      <c r="AN94" s="156">
        <f t="shared" si="245"/>
        <v>3.96</v>
      </c>
    </row>
    <row r="95" spans="1:40" ht="15" customHeight="1" x14ac:dyDescent="0.2">
      <c r="A95" s="121" t="s">
        <v>103</v>
      </c>
      <c r="B95" s="129">
        <v>0.125</v>
      </c>
      <c r="C95" s="155"/>
      <c r="D95" s="155"/>
      <c r="E95" s="155"/>
      <c r="F95" s="155"/>
      <c r="G95" s="156"/>
      <c r="H95" s="155"/>
      <c r="I95" s="155"/>
      <c r="J95" s="155"/>
      <c r="K95" s="155"/>
      <c r="L95" s="156"/>
      <c r="M95" s="155"/>
      <c r="N95" s="155"/>
      <c r="O95" s="155"/>
      <c r="P95" s="155"/>
      <c r="Q95" s="156"/>
      <c r="R95" s="155"/>
      <c r="S95" s="155"/>
      <c r="T95" s="155"/>
      <c r="U95" s="155"/>
      <c r="V95" s="156"/>
      <c r="W95" s="155"/>
      <c r="X95" s="155"/>
      <c r="Y95" s="155"/>
      <c r="Z95" s="155"/>
      <c r="AA95" s="156"/>
      <c r="AB95" s="155"/>
      <c r="AC95" s="155"/>
      <c r="AD95" s="155"/>
      <c r="AE95" s="155"/>
      <c r="AF95" s="156"/>
      <c r="AG95" s="155"/>
      <c r="AH95" s="155"/>
      <c r="AI95" s="155"/>
      <c r="AJ95" s="155"/>
      <c r="AK95" s="156"/>
      <c r="AL95" s="156"/>
      <c r="AM95" s="156"/>
      <c r="AN95" s="156"/>
    </row>
    <row r="96" spans="1:40" ht="15" customHeight="1" x14ac:dyDescent="0.2">
      <c r="A96" s="121" t="s">
        <v>104</v>
      </c>
      <c r="B96" s="129">
        <v>0.33500000000000002</v>
      </c>
      <c r="C96" s="155">
        <f t="shared" ref="C96:F96" si="246">$B96*C47</f>
        <v>0</v>
      </c>
      <c r="D96" s="155">
        <f t="shared" si="246"/>
        <v>0</v>
      </c>
      <c r="E96" s="155">
        <f t="shared" si="246"/>
        <v>0</v>
      </c>
      <c r="F96" s="155">
        <f t="shared" si="246"/>
        <v>0</v>
      </c>
      <c r="G96" s="156">
        <f t="shared" ref="G96:G100" si="247">SUM(C96:F96)</f>
        <v>0</v>
      </c>
      <c r="H96" s="155">
        <f>$B96*H47</f>
        <v>1.34</v>
      </c>
      <c r="I96" s="155">
        <f>$B96*I47</f>
        <v>1.675</v>
      </c>
      <c r="J96" s="155">
        <f>$B96*J47</f>
        <v>1.0050000000000001</v>
      </c>
      <c r="K96" s="155">
        <f>$B96*K47</f>
        <v>1.675</v>
      </c>
      <c r="L96" s="156">
        <f t="shared" ref="L96:L100" si="248">SUM(H96:K96)</f>
        <v>5.6950000000000003</v>
      </c>
      <c r="M96" s="155">
        <f>$B96*M47</f>
        <v>2.0100000000000002</v>
      </c>
      <c r="N96" s="155">
        <f>$B96*N47</f>
        <v>1.34</v>
      </c>
      <c r="O96" s="155">
        <f>$B96*O47</f>
        <v>2.3450000000000002</v>
      </c>
      <c r="P96" s="155">
        <f>$B96*P47</f>
        <v>1.34</v>
      </c>
      <c r="Q96" s="156">
        <f t="shared" ref="Q96:Q100" si="249">SUM(M96:P96)</f>
        <v>7.0350000000000001</v>
      </c>
      <c r="R96" s="155">
        <f>$B96*R47</f>
        <v>2.0100000000000002</v>
      </c>
      <c r="S96" s="155">
        <f>$B96*S47</f>
        <v>1.34</v>
      </c>
      <c r="T96" s="155">
        <f>$B96*T47</f>
        <v>1.34</v>
      </c>
      <c r="U96" s="155">
        <f>$B96*U47</f>
        <v>1.0050000000000001</v>
      </c>
      <c r="V96" s="156">
        <f t="shared" ref="V96:V100" si="250">SUM(R96:U96)</f>
        <v>5.6950000000000003</v>
      </c>
      <c r="W96" s="155">
        <f>$B96*W47</f>
        <v>1.0050000000000001</v>
      </c>
      <c r="X96" s="155">
        <f>$B96*X47</f>
        <v>1.0050000000000001</v>
      </c>
      <c r="Y96" s="155">
        <f>$B96*Y47</f>
        <v>1.0050000000000001</v>
      </c>
      <c r="Z96" s="155">
        <f>$B96*Z47</f>
        <v>1.0050000000000001</v>
      </c>
      <c r="AA96" s="156">
        <f t="shared" ref="AA96:AA100" si="251">SUM(W96:Z96)</f>
        <v>4.0200000000000005</v>
      </c>
      <c r="AB96" s="155">
        <f>$B96*AB47</f>
        <v>1.0050000000000001</v>
      </c>
      <c r="AC96" s="155">
        <f>$B96*AC47</f>
        <v>1.0050000000000001</v>
      </c>
      <c r="AD96" s="155">
        <f>$B96*AD47</f>
        <v>1.0050000000000001</v>
      </c>
      <c r="AE96" s="155">
        <f>$B96*AE47</f>
        <v>1.0050000000000001</v>
      </c>
      <c r="AF96" s="156">
        <f t="shared" ref="AF96:AF100" si="252">SUM(AB96:AE96)</f>
        <v>4.0200000000000005</v>
      </c>
      <c r="AG96" s="155">
        <f>$B96*AG47</f>
        <v>1.0050000000000001</v>
      </c>
      <c r="AH96" s="155">
        <f>$B96*AH47</f>
        <v>1.0050000000000001</v>
      </c>
      <c r="AI96" s="155">
        <f>$B96*AI47</f>
        <v>1.0050000000000001</v>
      </c>
      <c r="AJ96" s="155">
        <f>$B96*AJ47</f>
        <v>1.0050000000000001</v>
      </c>
      <c r="AK96" s="156">
        <f t="shared" ref="AK96:AK100" si="253">SUM(AG96:AJ96)</f>
        <v>4.0200000000000005</v>
      </c>
      <c r="AL96" s="156">
        <f>$B96*AL47</f>
        <v>4.0200000000000005</v>
      </c>
      <c r="AM96" s="156">
        <f t="shared" ref="AM96:AN96" si="254">$B96*AM47</f>
        <v>4.0200000000000005</v>
      </c>
      <c r="AN96" s="156">
        <f t="shared" si="254"/>
        <v>4.0200000000000005</v>
      </c>
    </row>
    <row r="97" spans="1:40" ht="15" customHeight="1" x14ac:dyDescent="0.2">
      <c r="A97" s="121" t="s">
        <v>105</v>
      </c>
      <c r="B97" s="129">
        <v>5.5E-2</v>
      </c>
      <c r="C97" s="155"/>
      <c r="D97" s="155"/>
      <c r="E97" s="155"/>
      <c r="F97" s="155"/>
      <c r="G97" s="156"/>
      <c r="H97" s="155"/>
      <c r="I97" s="155"/>
      <c r="J97" s="155"/>
      <c r="K97" s="155"/>
      <c r="L97" s="156"/>
      <c r="M97" s="155"/>
      <c r="N97" s="155"/>
      <c r="O97" s="155"/>
      <c r="P97" s="155"/>
      <c r="Q97" s="156"/>
      <c r="R97" s="155"/>
      <c r="S97" s="155"/>
      <c r="T97" s="155"/>
      <c r="U97" s="155"/>
      <c r="V97" s="156"/>
      <c r="W97" s="155"/>
      <c r="X97" s="155"/>
      <c r="Y97" s="155"/>
      <c r="Z97" s="155"/>
      <c r="AA97" s="156"/>
      <c r="AB97" s="155"/>
      <c r="AC97" s="155"/>
      <c r="AD97" s="155"/>
      <c r="AE97" s="155"/>
      <c r="AF97" s="156"/>
      <c r="AG97" s="155"/>
      <c r="AH97" s="155"/>
      <c r="AI97" s="155"/>
      <c r="AJ97" s="155"/>
      <c r="AK97" s="156"/>
      <c r="AL97" s="156"/>
      <c r="AM97" s="156"/>
      <c r="AN97" s="156"/>
    </row>
    <row r="98" spans="1:40" ht="15" customHeight="1" x14ac:dyDescent="0.2">
      <c r="A98" s="121" t="s">
        <v>106</v>
      </c>
      <c r="B98" s="129">
        <v>0.14499999999999999</v>
      </c>
      <c r="C98" s="155">
        <f t="shared" ref="C98:F98" si="255">$B98*C49</f>
        <v>0</v>
      </c>
      <c r="D98" s="155">
        <f t="shared" si="255"/>
        <v>0</v>
      </c>
      <c r="E98" s="155">
        <f t="shared" si="255"/>
        <v>0</v>
      </c>
      <c r="F98" s="155">
        <f t="shared" si="255"/>
        <v>0</v>
      </c>
      <c r="G98" s="156">
        <f t="shared" si="247"/>
        <v>0</v>
      </c>
      <c r="H98" s="155">
        <f>$B98*H49</f>
        <v>4.0599999999999996</v>
      </c>
      <c r="I98" s="155">
        <f>$B98*I49</f>
        <v>2.3199999999999998</v>
      </c>
      <c r="J98" s="155">
        <f>$B98*J49</f>
        <v>3.9149999999999996</v>
      </c>
      <c r="K98" s="155">
        <f>$B98*K49</f>
        <v>2.7549999999999999</v>
      </c>
      <c r="L98" s="156">
        <f t="shared" si="248"/>
        <v>13.049999999999997</v>
      </c>
      <c r="M98" s="155">
        <f>$B98*M49</f>
        <v>1.3049999999999999</v>
      </c>
      <c r="N98" s="155">
        <f>$B98*N49</f>
        <v>3.4799999999999995</v>
      </c>
      <c r="O98" s="155">
        <f>$B98*O49</f>
        <v>3.19</v>
      </c>
      <c r="P98" s="155">
        <f>$B98*P49</f>
        <v>2.1749999999999998</v>
      </c>
      <c r="Q98" s="156">
        <f t="shared" si="249"/>
        <v>10.149999999999999</v>
      </c>
      <c r="R98" s="155">
        <f>$B98*R49</f>
        <v>3.19</v>
      </c>
      <c r="S98" s="155">
        <f>$B98*S49</f>
        <v>3.19</v>
      </c>
      <c r="T98" s="155">
        <f>$B98*T49</f>
        <v>2.7549999999999999</v>
      </c>
      <c r="U98" s="155">
        <f>$B98*U49</f>
        <v>2.1749999999999998</v>
      </c>
      <c r="V98" s="156">
        <f t="shared" si="250"/>
        <v>11.309999999999999</v>
      </c>
      <c r="W98" s="155">
        <f>$B98*W49</f>
        <v>2.7549999999999999</v>
      </c>
      <c r="X98" s="155">
        <f>$B98*X49</f>
        <v>2.7549999999999999</v>
      </c>
      <c r="Y98" s="155">
        <f>$B98*Y49</f>
        <v>2.7549999999999999</v>
      </c>
      <c r="Z98" s="155">
        <f>$B98*Z49</f>
        <v>2.7549999999999999</v>
      </c>
      <c r="AA98" s="156">
        <f t="shared" si="251"/>
        <v>11.02</v>
      </c>
      <c r="AB98" s="155">
        <f>$B98*AB49</f>
        <v>2.7549999999999999</v>
      </c>
      <c r="AC98" s="155">
        <f>$B98*AC49</f>
        <v>2.7549999999999999</v>
      </c>
      <c r="AD98" s="155">
        <f>$B98*AD49</f>
        <v>2.7549999999999999</v>
      </c>
      <c r="AE98" s="155">
        <f>$B98*AE49</f>
        <v>2.7549999999999999</v>
      </c>
      <c r="AF98" s="156">
        <f t="shared" si="252"/>
        <v>11.02</v>
      </c>
      <c r="AG98" s="155">
        <f>$B98*AG49</f>
        <v>2.7549999999999999</v>
      </c>
      <c r="AH98" s="155">
        <f>$B98*AH49</f>
        <v>2.7549999999999999</v>
      </c>
      <c r="AI98" s="155">
        <f>$B98*AI49</f>
        <v>2.7549999999999999</v>
      </c>
      <c r="AJ98" s="155">
        <f>$B98*AJ49</f>
        <v>2.7549999999999999</v>
      </c>
      <c r="AK98" s="156">
        <f t="shared" si="253"/>
        <v>11.02</v>
      </c>
      <c r="AL98" s="156">
        <f>$B98*AL49</f>
        <v>11.02</v>
      </c>
      <c r="AM98" s="156">
        <f t="shared" ref="AM98:AN98" si="256">$B98*AM49</f>
        <v>11.02</v>
      </c>
      <c r="AN98" s="156">
        <f t="shared" si="256"/>
        <v>11.02</v>
      </c>
    </row>
    <row r="99" spans="1:40" ht="15" customHeight="1" x14ac:dyDescent="0.2">
      <c r="A99" s="121" t="s">
        <v>107</v>
      </c>
      <c r="B99" s="129">
        <v>0.3</v>
      </c>
      <c r="C99" s="155">
        <f t="shared" ref="C99:F99" si="257">$B99*C50</f>
        <v>0</v>
      </c>
      <c r="D99" s="155">
        <f t="shared" si="257"/>
        <v>0</v>
      </c>
      <c r="E99" s="155">
        <f t="shared" si="257"/>
        <v>0</v>
      </c>
      <c r="F99" s="155">
        <f t="shared" si="257"/>
        <v>0</v>
      </c>
      <c r="G99" s="156">
        <f t="shared" si="247"/>
        <v>0</v>
      </c>
      <c r="H99" s="155">
        <f>$B99*H50</f>
        <v>10.049999999999999</v>
      </c>
      <c r="I99" s="155">
        <f>$B99*I50</f>
        <v>9</v>
      </c>
      <c r="J99" s="155">
        <f>$B99*J50</f>
        <v>9</v>
      </c>
      <c r="K99" s="155">
        <f>$B99*K50</f>
        <v>9</v>
      </c>
      <c r="L99" s="156">
        <f t="shared" si="248"/>
        <v>37.049999999999997</v>
      </c>
      <c r="M99" s="155">
        <f>$B99*M50</f>
        <v>9</v>
      </c>
      <c r="N99" s="155">
        <f>$B99*N50</f>
        <v>10.65</v>
      </c>
      <c r="O99" s="155">
        <f>$B99*O50</f>
        <v>10.65</v>
      </c>
      <c r="P99" s="155">
        <f>$B99*P50</f>
        <v>10.65</v>
      </c>
      <c r="Q99" s="156">
        <f t="shared" si="249"/>
        <v>40.949999999999996</v>
      </c>
      <c r="R99" s="155">
        <f>$B99*R50</f>
        <v>10.65</v>
      </c>
      <c r="S99" s="155">
        <f>$B99*S50</f>
        <v>10.574999999999999</v>
      </c>
      <c r="T99" s="155">
        <f>$B99*T50</f>
        <v>10.574999999999999</v>
      </c>
      <c r="U99" s="155">
        <f>$B99*U50</f>
        <v>10.574999999999999</v>
      </c>
      <c r="V99" s="156">
        <f t="shared" si="250"/>
        <v>42.375</v>
      </c>
      <c r="W99" s="155">
        <f>$B99*W50</f>
        <v>10.574999999999999</v>
      </c>
      <c r="X99" s="155">
        <f>$B99*X50</f>
        <v>11.25</v>
      </c>
      <c r="Y99" s="155">
        <f>$B99*Y50</f>
        <v>11.25</v>
      </c>
      <c r="Z99" s="155">
        <f>$B99*Z50</f>
        <v>11.25</v>
      </c>
      <c r="AA99" s="156">
        <f t="shared" si="251"/>
        <v>44.325000000000003</v>
      </c>
      <c r="AB99" s="155">
        <f>$B99*AB50</f>
        <v>11.25</v>
      </c>
      <c r="AC99" s="155">
        <f>$B99*AC50</f>
        <v>11.25</v>
      </c>
      <c r="AD99" s="155">
        <f>$B99*AD50</f>
        <v>11.25</v>
      </c>
      <c r="AE99" s="155">
        <f>$B99*AE50</f>
        <v>11.25</v>
      </c>
      <c r="AF99" s="156">
        <f t="shared" si="252"/>
        <v>45</v>
      </c>
      <c r="AG99" s="155">
        <f>$B99*AG50</f>
        <v>11.25</v>
      </c>
      <c r="AH99" s="155">
        <f>$B99*AH50</f>
        <v>11.7</v>
      </c>
      <c r="AI99" s="155">
        <f>$B99*AI50</f>
        <v>11.7</v>
      </c>
      <c r="AJ99" s="155">
        <f>$B99*AJ50</f>
        <v>11.7</v>
      </c>
      <c r="AK99" s="156">
        <f t="shared" si="253"/>
        <v>46.349999999999994</v>
      </c>
      <c r="AL99" s="156">
        <f>$B99*AL50</f>
        <v>46.35</v>
      </c>
      <c r="AM99" s="156">
        <f t="shared" ref="AM99:AN99" si="258">$B99*AM50</f>
        <v>46.35</v>
      </c>
      <c r="AN99" s="156">
        <f t="shared" si="258"/>
        <v>46.35</v>
      </c>
    </row>
    <row r="100" spans="1:40" ht="15" customHeight="1" x14ac:dyDescent="0.2">
      <c r="A100" s="121" t="s">
        <v>108</v>
      </c>
      <c r="B100" s="129">
        <v>0.54500000000000004</v>
      </c>
      <c r="C100" s="155">
        <f t="shared" ref="C100:F100" si="259">$B100*C51</f>
        <v>0</v>
      </c>
      <c r="D100" s="155">
        <f t="shared" si="259"/>
        <v>0</v>
      </c>
      <c r="E100" s="155">
        <f t="shared" si="259"/>
        <v>0</v>
      </c>
      <c r="F100" s="155">
        <f t="shared" si="259"/>
        <v>0</v>
      </c>
      <c r="G100" s="156">
        <f t="shared" si="247"/>
        <v>0</v>
      </c>
      <c r="H100" s="155">
        <f>$B100*H51</f>
        <v>2.1800000000000002</v>
      </c>
      <c r="I100" s="155">
        <f>$B100*I51</f>
        <v>2.7250000000000001</v>
      </c>
      <c r="J100" s="155">
        <f>$B100*J51</f>
        <v>0.54500000000000004</v>
      </c>
      <c r="K100" s="155">
        <f>$B100*K51</f>
        <v>0.54500000000000004</v>
      </c>
      <c r="L100" s="156">
        <f t="shared" si="248"/>
        <v>5.9950000000000001</v>
      </c>
      <c r="M100" s="155">
        <f>$B100*M51</f>
        <v>3.8150000000000004</v>
      </c>
      <c r="N100" s="155">
        <f>$B100*N51</f>
        <v>1.0900000000000001</v>
      </c>
      <c r="O100" s="155">
        <f>$B100*O51</f>
        <v>1.0900000000000001</v>
      </c>
      <c r="P100" s="155">
        <f>$B100*P51</f>
        <v>1.6350000000000002</v>
      </c>
      <c r="Q100" s="156">
        <f t="shared" si="249"/>
        <v>7.6300000000000008</v>
      </c>
      <c r="R100" s="155">
        <f>$B100*R51</f>
        <v>3.2700000000000005</v>
      </c>
      <c r="S100" s="155">
        <f>$B100*S51</f>
        <v>2.1800000000000002</v>
      </c>
      <c r="T100" s="155">
        <f>$B100*T51</f>
        <v>2.1800000000000002</v>
      </c>
      <c r="U100" s="155">
        <f>$B100*U51</f>
        <v>0.54500000000000004</v>
      </c>
      <c r="V100" s="156">
        <f t="shared" si="250"/>
        <v>8.1750000000000007</v>
      </c>
      <c r="W100" s="155">
        <f>$B100*W51</f>
        <v>3.2700000000000005</v>
      </c>
      <c r="X100" s="155">
        <f>$B100*X51</f>
        <v>3.2700000000000005</v>
      </c>
      <c r="Y100" s="155">
        <f>$B100*Y51</f>
        <v>3.2700000000000005</v>
      </c>
      <c r="Z100" s="155">
        <f>$B100*Z51</f>
        <v>3.2700000000000005</v>
      </c>
      <c r="AA100" s="156">
        <f t="shared" si="251"/>
        <v>13.080000000000002</v>
      </c>
      <c r="AB100" s="155">
        <f>$B100*AB51</f>
        <v>3.2700000000000005</v>
      </c>
      <c r="AC100" s="155">
        <f>$B100*AC51</f>
        <v>3.2700000000000005</v>
      </c>
      <c r="AD100" s="155">
        <f>$B100*AD51</f>
        <v>3.2700000000000005</v>
      </c>
      <c r="AE100" s="155">
        <f>$B100*AE51</f>
        <v>3.2700000000000005</v>
      </c>
      <c r="AF100" s="156">
        <f t="shared" si="252"/>
        <v>13.080000000000002</v>
      </c>
      <c r="AG100" s="155">
        <f>$B100*AG51</f>
        <v>3.2700000000000005</v>
      </c>
      <c r="AH100" s="155">
        <f>$B100*AH51</f>
        <v>3.2700000000000005</v>
      </c>
      <c r="AI100" s="155">
        <f>$B100*AI51</f>
        <v>3.2700000000000005</v>
      </c>
      <c r="AJ100" s="155">
        <f>$B100*AJ51</f>
        <v>3.2700000000000005</v>
      </c>
      <c r="AK100" s="156">
        <f t="shared" si="253"/>
        <v>13.080000000000002</v>
      </c>
      <c r="AL100" s="156">
        <f>$B100*AL51</f>
        <v>13.080000000000002</v>
      </c>
      <c r="AM100" s="156">
        <f t="shared" ref="AM100:AN100" si="260">$B100*AM51</f>
        <v>13.080000000000002</v>
      </c>
      <c r="AN100" s="156">
        <f t="shared" si="260"/>
        <v>13.080000000000002</v>
      </c>
    </row>
    <row r="101" spans="1:40" ht="15" customHeight="1" x14ac:dyDescent="0.2">
      <c r="A101" s="121" t="s">
        <v>109</v>
      </c>
      <c r="B101" s="129">
        <v>0.64500000000000002</v>
      </c>
      <c r="C101" s="155"/>
      <c r="D101" s="155"/>
      <c r="E101" s="155"/>
      <c r="F101" s="155"/>
      <c r="G101" s="156"/>
      <c r="H101" s="155"/>
      <c r="I101" s="155"/>
      <c r="J101" s="155"/>
      <c r="K101" s="155"/>
      <c r="L101" s="156"/>
      <c r="M101" s="155"/>
      <c r="N101" s="155"/>
      <c r="O101" s="155"/>
      <c r="P101" s="155"/>
      <c r="Q101" s="156"/>
      <c r="R101" s="155"/>
      <c r="S101" s="155"/>
      <c r="T101" s="155"/>
      <c r="U101" s="155"/>
      <c r="V101" s="156"/>
      <c r="W101" s="155"/>
      <c r="X101" s="155"/>
      <c r="Y101" s="155"/>
      <c r="Z101" s="155"/>
      <c r="AA101" s="156"/>
      <c r="AB101" s="155"/>
      <c r="AC101" s="155"/>
      <c r="AD101" s="155"/>
      <c r="AE101" s="155"/>
      <c r="AF101" s="156"/>
      <c r="AG101" s="155"/>
      <c r="AH101" s="155"/>
      <c r="AI101" s="155"/>
      <c r="AJ101" s="155"/>
      <c r="AK101" s="156"/>
      <c r="AL101" s="156"/>
      <c r="AM101" s="156"/>
      <c r="AN101" s="156"/>
    </row>
    <row r="102" spans="1:40" ht="15" customHeight="1" x14ac:dyDescent="0.2">
      <c r="A102" s="121" t="s">
        <v>110</v>
      </c>
      <c r="B102" s="129">
        <v>0.27</v>
      </c>
      <c r="C102" s="155"/>
      <c r="D102" s="155"/>
      <c r="E102" s="155"/>
      <c r="F102" s="155"/>
      <c r="G102" s="156"/>
      <c r="H102" s="155"/>
      <c r="I102" s="155"/>
      <c r="J102" s="155"/>
      <c r="K102" s="155"/>
      <c r="L102" s="156"/>
      <c r="M102" s="155"/>
      <c r="N102" s="155"/>
      <c r="O102" s="155"/>
      <c r="P102" s="155"/>
      <c r="Q102" s="156"/>
      <c r="R102" s="155"/>
      <c r="S102" s="155"/>
      <c r="T102" s="155"/>
      <c r="U102" s="155"/>
      <c r="V102" s="156"/>
      <c r="W102" s="155"/>
      <c r="X102" s="155"/>
      <c r="Y102" s="155"/>
      <c r="Z102" s="155"/>
      <c r="AA102" s="156"/>
      <c r="AB102" s="155"/>
      <c r="AC102" s="155"/>
      <c r="AD102" s="155"/>
      <c r="AE102" s="155"/>
      <c r="AF102" s="156"/>
      <c r="AG102" s="155"/>
      <c r="AH102" s="155"/>
      <c r="AI102" s="155"/>
      <c r="AJ102" s="155"/>
      <c r="AK102" s="156"/>
      <c r="AL102" s="156"/>
      <c r="AM102" s="156"/>
      <c r="AN102" s="156"/>
    </row>
    <row r="103" spans="1:40" ht="15" customHeight="1" x14ac:dyDescent="0.2">
      <c r="A103" s="12" t="s">
        <v>65</v>
      </c>
      <c r="B103" s="12"/>
      <c r="C103" s="34">
        <f t="shared" ref="C103:G103" si="261">SUM(C94:C102)</f>
        <v>0</v>
      </c>
      <c r="D103" s="34">
        <f t="shared" si="261"/>
        <v>0</v>
      </c>
      <c r="E103" s="34">
        <f t="shared" si="261"/>
        <v>0</v>
      </c>
      <c r="F103" s="34">
        <f t="shared" si="261"/>
        <v>0</v>
      </c>
      <c r="G103" s="143">
        <f t="shared" si="261"/>
        <v>0</v>
      </c>
      <c r="H103" s="34">
        <f t="shared" ref="H103:W103" si="262">SUM(H94:H102)</f>
        <v>18.95</v>
      </c>
      <c r="I103" s="34">
        <f t="shared" si="262"/>
        <v>15.72</v>
      </c>
      <c r="J103" s="34">
        <f t="shared" si="262"/>
        <v>15.455</v>
      </c>
      <c r="K103" s="34">
        <f t="shared" si="262"/>
        <v>13.975</v>
      </c>
      <c r="L103" s="143">
        <f t="shared" si="262"/>
        <v>64.099999999999994</v>
      </c>
      <c r="M103" s="34">
        <f t="shared" si="262"/>
        <v>16.46</v>
      </c>
      <c r="N103" s="34">
        <f t="shared" si="262"/>
        <v>17.55</v>
      </c>
      <c r="O103" s="34">
        <f t="shared" si="262"/>
        <v>18.925000000000001</v>
      </c>
      <c r="P103" s="34">
        <f t="shared" si="262"/>
        <v>16.790000000000003</v>
      </c>
      <c r="Q103" s="143">
        <f t="shared" ref="Q103" si="263">SUM(Q94:Q102)</f>
        <v>69.724999999999994</v>
      </c>
      <c r="R103" s="34">
        <f t="shared" si="262"/>
        <v>20.77</v>
      </c>
      <c r="S103" s="34">
        <f t="shared" si="262"/>
        <v>17.614999999999998</v>
      </c>
      <c r="T103" s="34">
        <f t="shared" si="262"/>
        <v>18.169999999999998</v>
      </c>
      <c r="U103" s="34">
        <f t="shared" si="262"/>
        <v>15.62</v>
      </c>
      <c r="V103" s="143">
        <f t="shared" si="262"/>
        <v>72.174999999999997</v>
      </c>
      <c r="W103" s="34">
        <f t="shared" si="262"/>
        <v>18.594999999999999</v>
      </c>
      <c r="X103" s="34">
        <f t="shared" ref="X103" si="264">SUM(X94:X102)</f>
        <v>19.27</v>
      </c>
      <c r="Y103" s="34">
        <f t="shared" ref="Y103" si="265">SUM(Y94:Y102)</f>
        <v>19.27</v>
      </c>
      <c r="Z103" s="34">
        <f t="shared" ref="Z103" si="266">SUM(Z94:Z102)</f>
        <v>19.27</v>
      </c>
      <c r="AA103" s="143">
        <f t="shared" ref="AA103" si="267">SUM(AA94:AA102)</f>
        <v>76.405000000000001</v>
      </c>
      <c r="AB103" s="34">
        <f t="shared" ref="AB103" si="268">SUM(AB94:AB102)</f>
        <v>19.27</v>
      </c>
      <c r="AC103" s="34">
        <f t="shared" ref="AC103" si="269">SUM(AC94:AC102)</f>
        <v>19.27</v>
      </c>
      <c r="AD103" s="34">
        <f t="shared" ref="AD103" si="270">SUM(AD94:AD102)</f>
        <v>19.27</v>
      </c>
      <c r="AE103" s="34">
        <f t="shared" ref="AE103" si="271">SUM(AE94:AE102)</f>
        <v>19.27</v>
      </c>
      <c r="AF103" s="143">
        <f t="shared" ref="AF103" si="272">SUM(AF94:AF102)</f>
        <v>77.08</v>
      </c>
      <c r="AG103" s="34">
        <f t="shared" ref="AG103" si="273">SUM(AG94:AG102)</f>
        <v>19.27</v>
      </c>
      <c r="AH103" s="34">
        <f t="shared" ref="AH103" si="274">SUM(AH94:AH102)</f>
        <v>19.72</v>
      </c>
      <c r="AI103" s="34">
        <f t="shared" ref="AI103" si="275">SUM(AI94:AI102)</f>
        <v>19.72</v>
      </c>
      <c r="AJ103" s="34">
        <f t="shared" ref="AJ103" si="276">SUM(AJ94:AJ102)</f>
        <v>19.72</v>
      </c>
      <c r="AK103" s="143">
        <f t="shared" ref="AK103" si="277">SUM(AK94:AK102)</f>
        <v>78.429999999999993</v>
      </c>
      <c r="AL103" s="143">
        <f t="shared" ref="AL103:AN103" si="278">SUM(AL94:AL102)</f>
        <v>78.429999999999993</v>
      </c>
      <c r="AM103" s="143">
        <f t="shared" si="278"/>
        <v>78.429999999999993</v>
      </c>
      <c r="AN103" s="143">
        <f t="shared" si="278"/>
        <v>78.429999999999993</v>
      </c>
    </row>
    <row r="104" spans="1:40" ht="15" customHeight="1" x14ac:dyDescent="0.2">
      <c r="G104" s="156"/>
      <c r="H104" s="155"/>
      <c r="I104" s="155"/>
      <c r="J104" s="155"/>
      <c r="K104" s="155"/>
      <c r="L104" s="156"/>
      <c r="M104" s="155"/>
      <c r="N104" s="155"/>
      <c r="O104" s="155"/>
      <c r="P104" s="155"/>
      <c r="Q104" s="156"/>
      <c r="R104" s="155"/>
      <c r="S104" s="155"/>
      <c r="T104" s="155"/>
      <c r="U104" s="155"/>
      <c r="V104" s="156"/>
      <c r="W104" s="155"/>
      <c r="X104" s="155"/>
      <c r="Y104" s="155"/>
      <c r="Z104" s="155"/>
      <c r="AA104" s="156"/>
      <c r="AB104" s="155"/>
      <c r="AC104" s="155"/>
      <c r="AD104" s="155"/>
      <c r="AE104" s="155"/>
      <c r="AF104" s="156"/>
      <c r="AG104" s="155"/>
      <c r="AH104" s="155"/>
      <c r="AI104" s="155"/>
      <c r="AJ104" s="155"/>
      <c r="AK104" s="156"/>
      <c r="AL104" s="156"/>
      <c r="AM104" s="156"/>
      <c r="AN104" s="156"/>
    </row>
    <row r="105" spans="1:40" ht="15" customHeight="1" x14ac:dyDescent="0.2">
      <c r="A105" s="1" t="s">
        <v>407</v>
      </c>
      <c r="B105" s="1"/>
      <c r="C105" s="1"/>
      <c r="D105" s="1"/>
      <c r="E105" s="1"/>
      <c r="F105" s="1"/>
      <c r="G105" s="117">
        <f t="shared" ref="G105" si="279">G111-G103</f>
        <v>529.94000000000005</v>
      </c>
      <c r="H105" s="35">
        <f t="shared" ref="H105:W105" si="280">H111-H103</f>
        <v>121.97599999999998</v>
      </c>
      <c r="I105" s="35">
        <f t="shared" si="280"/>
        <v>124.18100000000001</v>
      </c>
      <c r="J105" s="35">
        <f t="shared" si="280"/>
        <v>96.212000000000003</v>
      </c>
      <c r="K105" s="35">
        <f t="shared" si="280"/>
        <v>119.79499999999999</v>
      </c>
      <c r="L105" s="117">
        <f t="shared" si="280"/>
        <v>462.16399999999999</v>
      </c>
      <c r="M105" s="35">
        <f t="shared" si="280"/>
        <v>114.803</v>
      </c>
      <c r="N105" s="35">
        <f t="shared" si="280"/>
        <v>118.08</v>
      </c>
      <c r="O105" s="35">
        <f t="shared" si="280"/>
        <v>98.278999999999996</v>
      </c>
      <c r="P105" s="35">
        <f t="shared" si="280"/>
        <v>108.92799999999995</v>
      </c>
      <c r="Q105" s="117">
        <f t="shared" ref="Q105" si="281">Q111-Q103</f>
        <v>440.09000000000003</v>
      </c>
      <c r="R105" s="35">
        <f t="shared" si="280"/>
        <v>84.605000000000004</v>
      </c>
      <c r="S105" s="35">
        <f t="shared" si="280"/>
        <v>80.197000000000003</v>
      </c>
      <c r="T105" s="35">
        <f t="shared" si="280"/>
        <v>97.034999999999997</v>
      </c>
      <c r="U105" s="35">
        <f t="shared" si="280"/>
        <v>88.004000000000019</v>
      </c>
      <c r="V105" s="117">
        <f t="shared" si="280"/>
        <v>349.84100000000001</v>
      </c>
      <c r="W105" s="35">
        <f t="shared" si="280"/>
        <v>71.773749999999993</v>
      </c>
      <c r="X105" s="205">
        <f>R105*(1+X106)</f>
        <v>88.835250000000002</v>
      </c>
      <c r="Y105" s="205">
        <f t="shared" ref="Y105:Z105" si="282">S105*(1+Y106)</f>
        <v>84.206850000000003</v>
      </c>
      <c r="Z105" s="205">
        <f t="shared" si="282"/>
        <v>101.88675000000001</v>
      </c>
      <c r="AA105" s="117">
        <f>SUM(W105:Z105)</f>
        <v>346.70259999999996</v>
      </c>
      <c r="AB105" s="205">
        <f>Z105</f>
        <v>101.88675000000001</v>
      </c>
      <c r="AC105" s="205">
        <f t="shared" ref="AC105:AJ105" si="283">AB105</f>
        <v>101.88675000000001</v>
      </c>
      <c r="AD105" s="205">
        <f t="shared" si="283"/>
        <v>101.88675000000001</v>
      </c>
      <c r="AE105" s="205">
        <f t="shared" si="283"/>
        <v>101.88675000000001</v>
      </c>
      <c r="AF105" s="117">
        <f>SUM(AB105:AE105)</f>
        <v>407.54700000000003</v>
      </c>
      <c r="AG105" s="205">
        <f>AE105</f>
        <v>101.88675000000001</v>
      </c>
      <c r="AH105" s="205">
        <f t="shared" si="283"/>
        <v>101.88675000000001</v>
      </c>
      <c r="AI105" s="205">
        <f t="shared" si="283"/>
        <v>101.88675000000001</v>
      </c>
      <c r="AJ105" s="205">
        <f t="shared" si="283"/>
        <v>101.88675000000001</v>
      </c>
      <c r="AK105" s="117">
        <f>SUM(AG105:AJ105)</f>
        <v>407.54700000000003</v>
      </c>
      <c r="AL105" s="117">
        <f>AK105</f>
        <v>407.54700000000003</v>
      </c>
      <c r="AM105" s="117">
        <f>AL105</f>
        <v>407.54700000000003</v>
      </c>
      <c r="AN105" s="117">
        <f>AM105</f>
        <v>407.54700000000003</v>
      </c>
    </row>
    <row r="106" spans="1:40" ht="15" customHeight="1" x14ac:dyDescent="0.2">
      <c r="A106" s="122" t="s">
        <v>444</v>
      </c>
      <c r="G106" s="156"/>
      <c r="H106" s="155"/>
      <c r="I106" s="155"/>
      <c r="J106" s="155"/>
      <c r="K106" s="155"/>
      <c r="L106" s="156"/>
      <c r="M106" s="36"/>
      <c r="N106" s="36"/>
      <c r="O106" s="36"/>
      <c r="P106" s="36"/>
      <c r="Q106" s="156"/>
      <c r="R106" s="36"/>
      <c r="S106" s="36"/>
      <c r="T106" s="36"/>
      <c r="U106" s="36"/>
      <c r="V106" s="156"/>
      <c r="W106" s="36"/>
      <c r="X106" s="236">
        <v>0.05</v>
      </c>
      <c r="Y106" s="236">
        <v>0.05</v>
      </c>
      <c r="Z106" s="236">
        <v>0.05</v>
      </c>
      <c r="AA106" s="156"/>
      <c r="AB106" s="155"/>
      <c r="AC106" s="155"/>
      <c r="AD106" s="155"/>
      <c r="AE106" s="155"/>
      <c r="AF106" s="156"/>
      <c r="AG106" s="155"/>
      <c r="AH106" s="155"/>
      <c r="AI106" s="155"/>
      <c r="AJ106" s="155"/>
      <c r="AK106" s="156"/>
      <c r="AL106" s="156"/>
      <c r="AM106" s="156"/>
      <c r="AN106" s="156"/>
    </row>
    <row r="107" spans="1:40" ht="15" customHeight="1" x14ac:dyDescent="0.2">
      <c r="G107" s="156"/>
      <c r="H107" s="155"/>
      <c r="I107" s="155"/>
      <c r="J107" s="155"/>
      <c r="K107" s="155"/>
      <c r="L107" s="156"/>
      <c r="M107" s="155"/>
      <c r="N107" s="155"/>
      <c r="O107" s="155"/>
      <c r="P107" s="155"/>
      <c r="Q107" s="156"/>
      <c r="R107" s="155"/>
      <c r="S107" s="155"/>
      <c r="T107" s="155"/>
      <c r="U107" s="155"/>
      <c r="V107" s="156"/>
      <c r="W107" s="155"/>
      <c r="X107" s="155"/>
      <c r="Y107" s="155"/>
      <c r="Z107" s="155"/>
      <c r="AA107" s="156"/>
      <c r="AB107" s="155"/>
      <c r="AC107" s="155"/>
      <c r="AD107" s="155"/>
      <c r="AE107" s="155"/>
      <c r="AF107" s="156"/>
      <c r="AG107" s="155"/>
      <c r="AH107" s="155"/>
      <c r="AI107" s="155"/>
      <c r="AJ107" s="155"/>
      <c r="AK107" s="156"/>
      <c r="AL107" s="156"/>
      <c r="AM107" s="156"/>
      <c r="AN107" s="156"/>
    </row>
    <row r="108" spans="1:40" ht="15" customHeight="1" x14ac:dyDescent="0.2">
      <c r="A108" s="119" t="s">
        <v>136</v>
      </c>
      <c r="B108" s="119"/>
      <c r="C108" s="119"/>
      <c r="D108" s="119"/>
      <c r="E108" s="119"/>
      <c r="F108" s="119"/>
      <c r="G108" s="123"/>
      <c r="H108" s="119"/>
      <c r="I108" s="119"/>
      <c r="J108" s="119"/>
      <c r="K108" s="119"/>
      <c r="L108" s="123"/>
      <c r="M108" s="119"/>
      <c r="N108" s="119"/>
      <c r="O108" s="119"/>
      <c r="P108" s="119"/>
      <c r="Q108" s="123"/>
      <c r="R108" s="119"/>
      <c r="S108" s="119"/>
      <c r="T108" s="119"/>
      <c r="U108" s="119"/>
      <c r="V108" s="123"/>
      <c r="W108" s="119"/>
      <c r="X108" s="119"/>
      <c r="Y108" s="119"/>
      <c r="Z108" s="119"/>
      <c r="AA108" s="123"/>
      <c r="AB108" s="119"/>
      <c r="AC108" s="119"/>
      <c r="AD108" s="119"/>
      <c r="AE108" s="119"/>
      <c r="AF108" s="123"/>
      <c r="AG108" s="119"/>
      <c r="AH108" s="119"/>
      <c r="AI108" s="119"/>
      <c r="AJ108" s="119"/>
      <c r="AK108" s="123"/>
      <c r="AL108" s="123"/>
      <c r="AM108" s="123"/>
      <c r="AN108" s="123"/>
    </row>
    <row r="109" spans="1:40" ht="15" customHeight="1" x14ac:dyDescent="0.2">
      <c r="A109" s="121" t="s">
        <v>137</v>
      </c>
      <c r="C109" s="155">
        <v>140.50800000000001</v>
      </c>
      <c r="D109" s="155">
        <v>174.34299999999999</v>
      </c>
      <c r="E109" s="155">
        <f>174.077</f>
        <v>174.077</v>
      </c>
      <c r="F109" s="155">
        <f>659.336-SUM(C109:E109)</f>
        <v>170.40800000000002</v>
      </c>
      <c r="G109" s="156">
        <f>SUM(C109:F109)</f>
        <v>659.33600000000001</v>
      </c>
      <c r="H109" s="155">
        <v>158.666</v>
      </c>
      <c r="I109" s="155">
        <v>144.61000000000001</v>
      </c>
      <c r="J109" s="155">
        <v>63.804000000000002</v>
      </c>
      <c r="K109" s="155">
        <f>434.306-SUM(H109:J109)</f>
        <v>67.225999999999942</v>
      </c>
      <c r="L109" s="156">
        <f>SUM(H109:K109)</f>
        <v>434.30599999999998</v>
      </c>
      <c r="M109" s="155">
        <v>76.081000000000003</v>
      </c>
      <c r="N109" s="155">
        <v>101.907</v>
      </c>
      <c r="O109" s="155">
        <v>96.29</v>
      </c>
      <c r="P109" s="155">
        <f>386.543-SUM(M109:O109)</f>
        <v>112.26499999999999</v>
      </c>
      <c r="Q109" s="156">
        <f>SUM(M109:P109)</f>
        <v>386.54300000000001</v>
      </c>
      <c r="R109" s="155">
        <v>104.82599999999999</v>
      </c>
      <c r="S109" s="155">
        <v>122.889</v>
      </c>
      <c r="T109" s="155">
        <v>131.96799999999999</v>
      </c>
      <c r="U109" s="155">
        <f>499.438-SUM(R109:T109)</f>
        <v>139.755</v>
      </c>
      <c r="V109" s="156">
        <f>SUM(R109:U109)</f>
        <v>499.43799999999999</v>
      </c>
      <c r="W109" s="208">
        <f>(R109*1.23)+3.2/4</f>
        <v>129.73598000000001</v>
      </c>
      <c r="X109" s="155">
        <f t="shared" ref="X109:AJ109" si="284">X88+X90</f>
        <v>158.09281250000004</v>
      </c>
      <c r="Y109" s="155">
        <f t="shared" si="284"/>
        <v>160.53781250000003</v>
      </c>
      <c r="Z109" s="155">
        <f t="shared" si="284"/>
        <v>159.86781250000001</v>
      </c>
      <c r="AA109" s="156">
        <f>SUM(W109:Z109)</f>
        <v>608.23441750000006</v>
      </c>
      <c r="AB109" s="155">
        <f t="shared" si="284"/>
        <v>171.95796875000002</v>
      </c>
      <c r="AC109" s="155">
        <f t="shared" si="284"/>
        <v>178.66596874999999</v>
      </c>
      <c r="AD109" s="155">
        <f t="shared" si="284"/>
        <v>184.47396874999998</v>
      </c>
      <c r="AE109" s="155">
        <f t="shared" si="284"/>
        <v>187.17396875000003</v>
      </c>
      <c r="AF109" s="156">
        <f>SUM(AB109:AE109)</f>
        <v>722.27187500000014</v>
      </c>
      <c r="AG109" s="155">
        <f t="shared" si="284"/>
        <v>198.39428125000001</v>
      </c>
      <c r="AH109" s="155">
        <f t="shared" si="284"/>
        <v>199.66928125000004</v>
      </c>
      <c r="AI109" s="155">
        <f t="shared" si="284"/>
        <v>204.97928124999999</v>
      </c>
      <c r="AJ109" s="155">
        <f t="shared" si="284"/>
        <v>209.10428124999999</v>
      </c>
      <c r="AK109" s="156">
        <f>SUM(AG109:AJ109)</f>
        <v>812.14712499999996</v>
      </c>
      <c r="AL109" s="156">
        <f>AK109</f>
        <v>812.14712499999996</v>
      </c>
      <c r="AM109" s="156">
        <f t="shared" ref="AM109:AN109" si="285">AL109</f>
        <v>812.14712499999996</v>
      </c>
      <c r="AN109" s="156">
        <f t="shared" si="285"/>
        <v>812.14712499999996</v>
      </c>
    </row>
    <row r="110" spans="1:40" ht="15" customHeight="1" x14ac:dyDescent="0.2">
      <c r="A110" s="121" t="s">
        <v>138</v>
      </c>
      <c r="C110" s="155">
        <v>111.348</v>
      </c>
      <c r="D110" s="155">
        <v>139.708</v>
      </c>
      <c r="E110" s="155">
        <f>124.863</f>
        <v>124.863</v>
      </c>
      <c r="F110" s="155">
        <f>497.795-SUM(C110:E110)</f>
        <v>121.87600000000003</v>
      </c>
      <c r="G110" s="156">
        <f t="shared" ref="G110:G112" si="286">SUM(C110:F110)</f>
        <v>497.79500000000002</v>
      </c>
      <c r="H110" s="155">
        <v>125.928</v>
      </c>
      <c r="I110" s="155">
        <v>134.042</v>
      </c>
      <c r="J110" s="155">
        <v>68.331999999999994</v>
      </c>
      <c r="K110" s="155">
        <f>399.843-SUM(H110:J110)</f>
        <v>71.540999999999997</v>
      </c>
      <c r="L110" s="156">
        <f t="shared" ref="L110:L112" si="287">SUM(H110:K110)</f>
        <v>399.84300000000002</v>
      </c>
      <c r="M110" s="155">
        <v>65.515000000000001</v>
      </c>
      <c r="N110" s="155">
        <v>77.578999999999994</v>
      </c>
      <c r="O110" s="155">
        <v>75.507999999999996</v>
      </c>
      <c r="P110" s="155">
        <f>306.547-SUM(M110:O110)</f>
        <v>87.94500000000005</v>
      </c>
      <c r="Q110" s="156">
        <f t="shared" ref="Q110:Q112" si="288">SUM(M110:P110)</f>
        <v>306.54700000000003</v>
      </c>
      <c r="R110" s="155">
        <v>86.085999999999999</v>
      </c>
      <c r="S110" s="155">
        <v>108.554</v>
      </c>
      <c r="T110" s="155">
        <v>108.69499999999999</v>
      </c>
      <c r="U110" s="155">
        <f>420.881-SUM(R110:T110)</f>
        <v>117.54599999999999</v>
      </c>
      <c r="V110" s="156">
        <f t="shared" ref="V110:V112" si="289">SUM(R110:U110)</f>
        <v>420.88099999999997</v>
      </c>
      <c r="W110" s="208">
        <f>(R110*1.47)+3.2/4</f>
        <v>127.34641999999999</v>
      </c>
      <c r="X110" s="208">
        <f>R110*(1+X124)</f>
        <v>111.9118</v>
      </c>
      <c r="Y110" s="208">
        <f t="shared" ref="Y110:Z110" si="290">S110*(1+Y124)</f>
        <v>141.12020000000001</v>
      </c>
      <c r="Z110" s="208">
        <f t="shared" si="290"/>
        <v>141.30349999999999</v>
      </c>
      <c r="AA110" s="156">
        <f t="shared" ref="AA110:AA112" si="291">SUM(W110:Z110)</f>
        <v>521.68191999999999</v>
      </c>
      <c r="AB110" s="208">
        <f>W110*(1+AB124)</f>
        <v>140.081062</v>
      </c>
      <c r="AC110" s="208">
        <f t="shared" ref="AC110:AE110" si="292">X110*(1+AC124)</f>
        <v>123.10298</v>
      </c>
      <c r="AD110" s="208">
        <f t="shared" si="292"/>
        <v>155.23222000000001</v>
      </c>
      <c r="AE110" s="208">
        <f t="shared" si="292"/>
        <v>155.43385000000001</v>
      </c>
      <c r="AF110" s="156">
        <f t="shared" ref="AF110:AF112" si="293">SUM(AB110:AE110)</f>
        <v>573.85011199999997</v>
      </c>
      <c r="AG110" s="208">
        <f>AB110*(1+AG124)</f>
        <v>161.09322129999998</v>
      </c>
      <c r="AH110" s="208">
        <f t="shared" ref="AH110" si="294">AC110*(1+AH124)</f>
        <v>141.56842699999999</v>
      </c>
      <c r="AI110" s="208">
        <f t="shared" ref="AI110" si="295">AD110*(1+AI124)</f>
        <v>178.517053</v>
      </c>
      <c r="AJ110" s="208">
        <f t="shared" ref="AJ110" si="296">AE110*(1+AJ124)</f>
        <v>178.74892750000001</v>
      </c>
      <c r="AK110" s="156">
        <f t="shared" ref="AK110:AK112" si="297">SUM(AG110:AJ110)</f>
        <v>659.92762879999998</v>
      </c>
      <c r="AL110" s="156">
        <f>AK110*(1+AL124)</f>
        <v>725.92039168000008</v>
      </c>
      <c r="AM110" s="156">
        <f t="shared" ref="AM110:AN112" si="298">AL110*(1+AM124)</f>
        <v>798.51243084800012</v>
      </c>
      <c r="AN110" s="156">
        <f t="shared" si="298"/>
        <v>878.36367393280022</v>
      </c>
    </row>
    <row r="111" spans="1:40" ht="15" customHeight="1" x14ac:dyDescent="0.2">
      <c r="A111" s="121" t="s">
        <v>139</v>
      </c>
      <c r="C111" s="155">
        <v>101.836</v>
      </c>
      <c r="D111" s="155">
        <v>123.006</v>
      </c>
      <c r="E111" s="155">
        <v>147.696</v>
      </c>
      <c r="F111" s="155">
        <f>529.94-SUM(C111:E111)</f>
        <v>157.40200000000004</v>
      </c>
      <c r="G111" s="156">
        <f t="shared" si="286"/>
        <v>529.94000000000005</v>
      </c>
      <c r="H111" s="155">
        <v>140.92599999999999</v>
      </c>
      <c r="I111" s="155">
        <v>139.90100000000001</v>
      </c>
      <c r="J111" s="155">
        <v>111.667</v>
      </c>
      <c r="K111" s="155">
        <f>526.264-SUM(H111:J111)</f>
        <v>133.76999999999998</v>
      </c>
      <c r="L111" s="156">
        <f t="shared" si="287"/>
        <v>526.26400000000001</v>
      </c>
      <c r="M111" s="155">
        <v>131.26300000000001</v>
      </c>
      <c r="N111" s="155">
        <v>135.63</v>
      </c>
      <c r="O111" s="155">
        <v>117.20399999999999</v>
      </c>
      <c r="P111" s="155">
        <f>509.815-SUM(M111:O111)</f>
        <v>125.71799999999996</v>
      </c>
      <c r="Q111" s="156">
        <f t="shared" si="288"/>
        <v>509.815</v>
      </c>
      <c r="R111" s="155">
        <v>105.375</v>
      </c>
      <c r="S111" s="155">
        <v>97.811999999999998</v>
      </c>
      <c r="T111" s="155">
        <v>115.205</v>
      </c>
      <c r="U111" s="155">
        <f>422.016-SUM(R111:T111)</f>
        <v>103.62400000000002</v>
      </c>
      <c r="V111" s="156">
        <f t="shared" si="289"/>
        <v>422.01600000000002</v>
      </c>
      <c r="W111" s="208">
        <f>R111*(1+-15%)+3.2/4</f>
        <v>90.368749999999991</v>
      </c>
      <c r="X111" s="155">
        <f t="shared" ref="X111:AJ111" si="299">X103+X105</f>
        <v>108.10525</v>
      </c>
      <c r="Y111" s="155">
        <f t="shared" si="299"/>
        <v>103.47685</v>
      </c>
      <c r="Z111" s="155">
        <f t="shared" si="299"/>
        <v>121.15675</v>
      </c>
      <c r="AA111" s="156">
        <f t="shared" si="291"/>
        <v>423.10759999999999</v>
      </c>
      <c r="AB111" s="155">
        <f t="shared" si="299"/>
        <v>121.15675</v>
      </c>
      <c r="AC111" s="155">
        <f t="shared" si="299"/>
        <v>121.15675</v>
      </c>
      <c r="AD111" s="155">
        <f t="shared" si="299"/>
        <v>121.15675</v>
      </c>
      <c r="AE111" s="155">
        <f t="shared" si="299"/>
        <v>121.15675</v>
      </c>
      <c r="AF111" s="156">
        <f t="shared" si="293"/>
        <v>484.62700000000001</v>
      </c>
      <c r="AG111" s="155">
        <f t="shared" si="299"/>
        <v>121.15675</v>
      </c>
      <c r="AH111" s="155">
        <f t="shared" si="299"/>
        <v>121.60675000000001</v>
      </c>
      <c r="AI111" s="155">
        <f t="shared" si="299"/>
        <v>121.60675000000001</v>
      </c>
      <c r="AJ111" s="155">
        <f t="shared" si="299"/>
        <v>121.60675000000001</v>
      </c>
      <c r="AK111" s="156">
        <f t="shared" si="297"/>
        <v>485.97700000000009</v>
      </c>
      <c r="AL111" s="156">
        <f t="shared" ref="AL111:AN111" si="300">AK111</f>
        <v>485.97700000000009</v>
      </c>
      <c r="AM111" s="156">
        <f t="shared" si="300"/>
        <v>485.97700000000009</v>
      </c>
      <c r="AN111" s="156">
        <f t="shared" si="300"/>
        <v>485.97700000000009</v>
      </c>
    </row>
    <row r="112" spans="1:40" ht="15" customHeight="1" x14ac:dyDescent="0.2">
      <c r="A112" s="121" t="s">
        <v>140</v>
      </c>
      <c r="C112" s="155">
        <v>39.195</v>
      </c>
      <c r="D112" s="155">
        <v>45.896999999999998</v>
      </c>
      <c r="E112" s="155">
        <v>52.139000000000003</v>
      </c>
      <c r="F112" s="155">
        <f>193.449-SUM(C112:E112)</f>
        <v>56.218000000000018</v>
      </c>
      <c r="G112" s="156">
        <f t="shared" si="286"/>
        <v>193.44900000000001</v>
      </c>
      <c r="H112" s="155">
        <v>48.405000000000001</v>
      </c>
      <c r="I112" s="155">
        <v>55.683</v>
      </c>
      <c r="J112" s="155">
        <v>62.691000000000003</v>
      </c>
      <c r="K112" s="155">
        <f>230.55-SUM(H112:J112)</f>
        <v>63.771000000000015</v>
      </c>
      <c r="L112" s="156">
        <f t="shared" si="287"/>
        <v>230.55</v>
      </c>
      <c r="M112" s="155">
        <v>48.808</v>
      </c>
      <c r="N112" s="155">
        <v>49.59</v>
      </c>
      <c r="O112" s="155">
        <v>51.91</v>
      </c>
      <c r="P112" s="155">
        <f>201.212-SUM(M112:O112)</f>
        <v>50.903999999999996</v>
      </c>
      <c r="Q112" s="156">
        <f t="shared" si="288"/>
        <v>201.21199999999999</v>
      </c>
      <c r="R112" s="155">
        <v>40.148000000000003</v>
      </c>
      <c r="S112" s="155">
        <v>43.502000000000002</v>
      </c>
      <c r="T112" s="155">
        <v>45.844000000000001</v>
      </c>
      <c r="U112" s="155">
        <f>176.987-SUM(R112:T112)</f>
        <v>47.492999999999995</v>
      </c>
      <c r="V112" s="156">
        <f t="shared" si="289"/>
        <v>176.98699999999999</v>
      </c>
      <c r="W112" s="208">
        <f>U112+3.2/4</f>
        <v>48.292999999999992</v>
      </c>
      <c r="X112" s="208">
        <f>R112*(1+X126)</f>
        <v>50.185000000000002</v>
      </c>
      <c r="Y112" s="208">
        <f t="shared" ref="Y112" si="301">S112*(1+Y126)</f>
        <v>54.377500000000005</v>
      </c>
      <c r="Z112" s="208">
        <f t="shared" ref="Z112" si="302">T112*(1+Z126)</f>
        <v>57.305</v>
      </c>
      <c r="AA112" s="156">
        <f t="shared" si="291"/>
        <v>210.16050000000001</v>
      </c>
      <c r="AB112" s="208">
        <f>W112*(1+AB126)</f>
        <v>50.707649999999994</v>
      </c>
      <c r="AC112" s="208">
        <f t="shared" ref="AC112" si="303">X112*(1+AC126)</f>
        <v>52.694250000000004</v>
      </c>
      <c r="AD112" s="208">
        <f t="shared" ref="AD112" si="304">Y112*(1+AD126)</f>
        <v>57.096375000000009</v>
      </c>
      <c r="AE112" s="208">
        <f t="shared" ref="AE112" si="305">Z112*(1+AE126)</f>
        <v>60.170250000000003</v>
      </c>
      <c r="AF112" s="156">
        <f t="shared" si="293"/>
        <v>220.66852500000002</v>
      </c>
      <c r="AG112" s="155">
        <f>AE112</f>
        <v>60.170250000000003</v>
      </c>
      <c r="AH112" s="155">
        <f t="shared" ref="AH112:AJ112" si="306">AG112</f>
        <v>60.170250000000003</v>
      </c>
      <c r="AI112" s="155">
        <f t="shared" si="306"/>
        <v>60.170250000000003</v>
      </c>
      <c r="AJ112" s="155">
        <f t="shared" si="306"/>
        <v>60.170250000000003</v>
      </c>
      <c r="AK112" s="156">
        <f t="shared" si="297"/>
        <v>240.68100000000001</v>
      </c>
      <c r="AL112" s="156">
        <f>AK112*(1+AL126)</f>
        <v>264.74910000000006</v>
      </c>
      <c r="AM112" s="156">
        <f t="shared" si="298"/>
        <v>291.22401000000008</v>
      </c>
      <c r="AN112" s="156">
        <f t="shared" si="298"/>
        <v>320.3464110000001</v>
      </c>
    </row>
    <row r="113" spans="1:40" ht="15" customHeight="1" x14ac:dyDescent="0.2">
      <c r="A113" s="12" t="s">
        <v>145</v>
      </c>
      <c r="B113" s="12"/>
      <c r="C113" s="34">
        <f t="shared" ref="C113:E113" si="307">SUM(C109:C112)</f>
        <v>392.887</v>
      </c>
      <c r="D113" s="34">
        <f t="shared" si="307"/>
        <v>482.95400000000001</v>
      </c>
      <c r="E113" s="34">
        <f t="shared" si="307"/>
        <v>498.77499999999998</v>
      </c>
      <c r="F113" s="34">
        <f t="shared" ref="F113:N113" si="308">SUM(F109:F112)</f>
        <v>505.90400000000011</v>
      </c>
      <c r="G113" s="143">
        <f>SUM(G109:G112)</f>
        <v>1880.5200000000002</v>
      </c>
      <c r="H113" s="34">
        <f t="shared" si="308"/>
        <v>473.92499999999995</v>
      </c>
      <c r="I113" s="34">
        <f t="shared" si="308"/>
        <v>474.23600000000005</v>
      </c>
      <c r="J113" s="34">
        <f t="shared" si="308"/>
        <v>306.49400000000003</v>
      </c>
      <c r="K113" s="34">
        <f t="shared" si="308"/>
        <v>336.30799999999994</v>
      </c>
      <c r="L113" s="143">
        <f>SUM(L109:L112)</f>
        <v>1590.963</v>
      </c>
      <c r="M113" s="34">
        <f t="shared" si="308"/>
        <v>321.66700000000003</v>
      </c>
      <c r="N113" s="34">
        <f t="shared" si="308"/>
        <v>364.70600000000002</v>
      </c>
      <c r="O113" s="34">
        <f t="shared" ref="O113:AL113" si="309">SUM(O109:O112)</f>
        <v>340.91200000000003</v>
      </c>
      <c r="P113" s="34">
        <f t="shared" si="309"/>
        <v>376.83199999999999</v>
      </c>
      <c r="Q113" s="143">
        <f>SUM(Q109:Q112)</f>
        <v>1404.117</v>
      </c>
      <c r="R113" s="34">
        <f t="shared" si="309"/>
        <v>336.435</v>
      </c>
      <c r="S113" s="34">
        <f t="shared" si="309"/>
        <v>372.75700000000001</v>
      </c>
      <c r="T113" s="34">
        <f t="shared" si="309"/>
        <v>401.71199999999999</v>
      </c>
      <c r="U113" s="34">
        <f t="shared" si="309"/>
        <v>408.41800000000001</v>
      </c>
      <c r="V113" s="143">
        <f>SUM(V109:V112)</f>
        <v>1519.3220000000001</v>
      </c>
      <c r="W113" s="114">
        <v>395.685</v>
      </c>
      <c r="X113" s="34">
        <f t="shared" si="309"/>
        <v>428.29486250000002</v>
      </c>
      <c r="Y113" s="34">
        <f t="shared" si="309"/>
        <v>459.51236250000005</v>
      </c>
      <c r="Z113" s="34">
        <f t="shared" si="309"/>
        <v>479.63306249999999</v>
      </c>
      <c r="AA113" s="143">
        <f>SUM(AA109:AA112)</f>
        <v>1763.1844375000001</v>
      </c>
      <c r="AB113" s="34">
        <f t="shared" si="309"/>
        <v>483.90343075000004</v>
      </c>
      <c r="AC113" s="34">
        <f t="shared" si="309"/>
        <v>475.61994874999999</v>
      </c>
      <c r="AD113" s="34">
        <f t="shared" si="309"/>
        <v>517.95931374999998</v>
      </c>
      <c r="AE113" s="34">
        <f t="shared" si="309"/>
        <v>523.93481874999998</v>
      </c>
      <c r="AF113" s="143">
        <f>SUM(AF109:AF112)</f>
        <v>2001.417512</v>
      </c>
      <c r="AG113" s="34">
        <f t="shared" si="309"/>
        <v>540.81450254999993</v>
      </c>
      <c r="AH113" s="34">
        <f t="shared" si="309"/>
        <v>523.01470825000001</v>
      </c>
      <c r="AI113" s="34">
        <f t="shared" si="309"/>
        <v>565.27333425000006</v>
      </c>
      <c r="AJ113" s="34">
        <f t="shared" si="309"/>
        <v>569.63020875000007</v>
      </c>
      <c r="AK113" s="143">
        <f>SUM(AK109:AK112)</f>
        <v>2198.7327538</v>
      </c>
      <c r="AL113" s="143">
        <f t="shared" si="309"/>
        <v>2288.7936166800005</v>
      </c>
      <c r="AM113" s="143">
        <f t="shared" ref="AM113:AN113" si="310">SUM(AM109:AM112)</f>
        <v>2387.8605658480001</v>
      </c>
      <c r="AN113" s="143">
        <f t="shared" si="310"/>
        <v>2496.8342099328006</v>
      </c>
    </row>
    <row r="114" spans="1:40" ht="15" customHeight="1" x14ac:dyDescent="0.2">
      <c r="G114" s="156"/>
      <c r="H114" s="155"/>
      <c r="I114" s="155"/>
      <c r="J114" s="155"/>
      <c r="K114" s="155"/>
      <c r="L114" s="156"/>
      <c r="M114" s="155"/>
      <c r="N114" s="155"/>
      <c r="O114" s="155"/>
      <c r="P114" s="155"/>
      <c r="Q114" s="156"/>
      <c r="R114" s="155"/>
      <c r="S114" s="155"/>
      <c r="T114" s="155"/>
      <c r="U114" s="155"/>
      <c r="V114" s="156"/>
      <c r="W114" s="230"/>
      <c r="X114" s="155"/>
      <c r="Y114" s="155"/>
      <c r="Z114" s="155"/>
      <c r="AA114" s="206"/>
      <c r="AB114" s="155"/>
      <c r="AC114" s="155"/>
      <c r="AD114" s="155"/>
      <c r="AE114" s="155"/>
      <c r="AF114" s="156"/>
      <c r="AG114" s="155"/>
      <c r="AH114" s="155"/>
      <c r="AI114" s="155"/>
      <c r="AJ114" s="155"/>
      <c r="AK114" s="156"/>
      <c r="AL114" s="156"/>
      <c r="AM114" s="156"/>
      <c r="AN114" s="156"/>
    </row>
    <row r="115" spans="1:40" ht="15" customHeight="1" x14ac:dyDescent="0.2">
      <c r="A115" s="121" t="s">
        <v>141</v>
      </c>
      <c r="C115" s="155">
        <v>196.13</v>
      </c>
      <c r="D115" s="155">
        <v>209.25700000000001</v>
      </c>
      <c r="E115" s="155">
        <v>185.523</v>
      </c>
      <c r="F115" s="155">
        <f>751.136-SUM(C115:E115)</f>
        <v>160.226</v>
      </c>
      <c r="G115" s="156">
        <f>SUM(C115:F115)</f>
        <v>751.13599999999997</v>
      </c>
      <c r="H115" s="155">
        <v>174.65299999999999</v>
      </c>
      <c r="I115" s="155">
        <v>163.55500000000001</v>
      </c>
      <c r="J115" s="155">
        <v>158.804</v>
      </c>
      <c r="K115" s="155">
        <f>632.555-SUM(H115:J115)</f>
        <v>135.54300000000001</v>
      </c>
      <c r="L115" s="156">
        <f>SUM(H115:K115)</f>
        <v>632.55499999999995</v>
      </c>
      <c r="M115" s="155">
        <v>164.922</v>
      </c>
      <c r="N115" s="155">
        <v>163.03399999999999</v>
      </c>
      <c r="O115" s="155">
        <v>166.143</v>
      </c>
      <c r="P115" s="155">
        <f>639.946-SUM(M115:O115)</f>
        <v>145.84699999999998</v>
      </c>
      <c r="Q115" s="156">
        <f>SUM(M115:P115)</f>
        <v>639.94600000000003</v>
      </c>
      <c r="R115" s="155">
        <v>158.334</v>
      </c>
      <c r="S115" s="155">
        <v>156.66300000000001</v>
      </c>
      <c r="T115" s="155">
        <v>154.09</v>
      </c>
      <c r="U115" s="155">
        <f>636.866-SUM(R115:T115)</f>
        <v>167.779</v>
      </c>
      <c r="V115" s="156">
        <f>SUM(R115:U115)</f>
        <v>636.86599999999999</v>
      </c>
      <c r="W115" s="208">
        <f>(U115/$U$118)*$W$118</f>
        <v>161.49059251775574</v>
      </c>
      <c r="X115" s="155">
        <f>W115</f>
        <v>161.49059251775574</v>
      </c>
      <c r="Y115" s="155">
        <f t="shared" ref="Y115:AJ116" si="311">X115</f>
        <v>161.49059251775574</v>
      </c>
      <c r="Z115" s="155">
        <f t="shared" si="311"/>
        <v>161.49059251775574</v>
      </c>
      <c r="AA115" s="156">
        <f>SUM(W115:Z115)</f>
        <v>645.96237007102297</v>
      </c>
      <c r="AB115" s="155">
        <f>Z115</f>
        <v>161.49059251775574</v>
      </c>
      <c r="AC115" s="155">
        <f t="shared" si="311"/>
        <v>161.49059251775574</v>
      </c>
      <c r="AD115" s="155">
        <f t="shared" si="311"/>
        <v>161.49059251775574</v>
      </c>
      <c r="AE115" s="155">
        <f t="shared" si="311"/>
        <v>161.49059251775574</v>
      </c>
      <c r="AF115" s="156">
        <f>SUM(AB115:AE115)</f>
        <v>645.96237007102297</v>
      </c>
      <c r="AG115" s="155">
        <f>AE115</f>
        <v>161.49059251775574</v>
      </c>
      <c r="AH115" s="155">
        <f t="shared" si="311"/>
        <v>161.49059251775574</v>
      </c>
      <c r="AI115" s="155">
        <f t="shared" si="311"/>
        <v>161.49059251775574</v>
      </c>
      <c r="AJ115" s="155">
        <f t="shared" si="311"/>
        <v>161.49059251775574</v>
      </c>
      <c r="AK115" s="156">
        <f>SUM(AG115:AJ115)</f>
        <v>645.96237007102297</v>
      </c>
      <c r="AL115" s="156">
        <f>AK115</f>
        <v>645.96237007102297</v>
      </c>
      <c r="AM115" s="156">
        <f t="shared" ref="AM115:AN115" si="312">AL115</f>
        <v>645.96237007102297</v>
      </c>
      <c r="AN115" s="156">
        <f t="shared" si="312"/>
        <v>645.96237007102297</v>
      </c>
    </row>
    <row r="116" spans="1:40" ht="15" customHeight="1" x14ac:dyDescent="0.2">
      <c r="A116" s="121" t="s">
        <v>142</v>
      </c>
      <c r="C116" s="155">
        <v>49.512</v>
      </c>
      <c r="D116" s="155">
        <v>52.186999999999998</v>
      </c>
      <c r="E116" s="155">
        <v>53.74</v>
      </c>
      <c r="F116" s="155">
        <f>210.064-SUM(C116:E116)</f>
        <v>54.625</v>
      </c>
      <c r="G116" s="156">
        <f t="shared" ref="G116:G117" si="313">SUM(C116:F116)</f>
        <v>210.06399999999999</v>
      </c>
      <c r="H116" s="155">
        <v>51.5</v>
      </c>
      <c r="I116" s="155">
        <v>59.677999999999997</v>
      </c>
      <c r="J116" s="155">
        <v>53.485999999999997</v>
      </c>
      <c r="K116" s="155">
        <f>222.366-SUM(H116:J116)</f>
        <v>57.702000000000027</v>
      </c>
      <c r="L116" s="156">
        <f t="shared" ref="L116:L117" si="314">SUM(H116:K116)</f>
        <v>222.36600000000001</v>
      </c>
      <c r="M116" s="155">
        <v>51.03</v>
      </c>
      <c r="N116" s="155">
        <v>53.581000000000003</v>
      </c>
      <c r="O116" s="155">
        <v>49.62</v>
      </c>
      <c r="P116" s="155">
        <f>201.769-SUM(M116:O116)</f>
        <v>47.538000000000011</v>
      </c>
      <c r="Q116" s="156">
        <f t="shared" ref="Q116:Q117" si="315">SUM(M116:P116)</f>
        <v>201.76900000000001</v>
      </c>
      <c r="R116" s="155">
        <v>46.817</v>
      </c>
      <c r="S116" s="155">
        <v>57.418999999999997</v>
      </c>
      <c r="T116" s="155">
        <v>58.53</v>
      </c>
      <c r="U116" s="155">
        <f>226.602-SUM(R116:T116)</f>
        <v>63.836000000000013</v>
      </c>
      <c r="V116" s="156">
        <f t="shared" ref="V116:V117" si="316">SUM(R116:U116)</f>
        <v>226.602</v>
      </c>
      <c r="W116" s="208">
        <f>(U116/$U$118)*$W$118</f>
        <v>61.443407482244247</v>
      </c>
      <c r="X116" s="155">
        <f>W116</f>
        <v>61.443407482244247</v>
      </c>
      <c r="Y116" s="155">
        <f t="shared" si="311"/>
        <v>61.443407482244247</v>
      </c>
      <c r="Z116" s="155">
        <f t="shared" si="311"/>
        <v>61.443407482244247</v>
      </c>
      <c r="AA116" s="156">
        <f t="shared" ref="AA116" si="317">SUM(W116:Z116)</f>
        <v>245.77362992897699</v>
      </c>
      <c r="AB116" s="155">
        <f>Z116</f>
        <v>61.443407482244247</v>
      </c>
      <c r="AC116" s="155">
        <f t="shared" si="311"/>
        <v>61.443407482244247</v>
      </c>
      <c r="AD116" s="155">
        <f t="shared" si="311"/>
        <v>61.443407482244247</v>
      </c>
      <c r="AE116" s="155">
        <f t="shared" si="311"/>
        <v>61.443407482244247</v>
      </c>
      <c r="AF116" s="156">
        <f t="shared" ref="AF116:AF117" si="318">SUM(AB116:AE116)</f>
        <v>245.77362992897699</v>
      </c>
      <c r="AG116" s="155">
        <f>AE116</f>
        <v>61.443407482244247</v>
      </c>
      <c r="AH116" s="155">
        <f t="shared" si="311"/>
        <v>61.443407482244247</v>
      </c>
      <c r="AI116" s="155">
        <f t="shared" si="311"/>
        <v>61.443407482244247</v>
      </c>
      <c r="AJ116" s="155">
        <f t="shared" si="311"/>
        <v>61.443407482244247</v>
      </c>
      <c r="AK116" s="156">
        <f t="shared" ref="AK116:AK117" si="319">SUM(AG116:AJ116)</f>
        <v>245.77362992897699</v>
      </c>
      <c r="AL116" s="156">
        <f t="shared" ref="AL116:AN117" si="320">AK116</f>
        <v>245.77362992897699</v>
      </c>
      <c r="AM116" s="156">
        <f t="shared" si="320"/>
        <v>245.77362992897699</v>
      </c>
      <c r="AN116" s="156">
        <f t="shared" si="320"/>
        <v>245.77362992897699</v>
      </c>
    </row>
    <row r="117" spans="1:40" ht="15" customHeight="1" x14ac:dyDescent="0.2">
      <c r="A117" s="121" t="s">
        <v>143</v>
      </c>
      <c r="C117" s="155">
        <v>14.282</v>
      </c>
      <c r="D117" s="155">
        <v>14.446</v>
      </c>
      <c r="E117" s="155">
        <v>13.967000000000001</v>
      </c>
      <c r="F117" s="155">
        <f>58.477-SUM(C117:E117)</f>
        <v>15.781999999999996</v>
      </c>
      <c r="G117" s="156">
        <f t="shared" si="313"/>
        <v>58.476999999999997</v>
      </c>
      <c r="H117" s="155">
        <v>20.277000000000001</v>
      </c>
      <c r="I117" s="155">
        <v>22.751000000000001</v>
      </c>
      <c r="J117" s="155">
        <v>5.0419999999999998</v>
      </c>
      <c r="K117" s="155">
        <f>49.781-SUM(H117:J117)</f>
        <v>1.7109999999999914</v>
      </c>
      <c r="L117" s="156">
        <f t="shared" si="314"/>
        <v>49.780999999999999</v>
      </c>
      <c r="M117" s="155"/>
      <c r="N117" s="155"/>
      <c r="O117" s="155"/>
      <c r="P117" s="155"/>
      <c r="Q117" s="156">
        <f t="shared" si="315"/>
        <v>0</v>
      </c>
      <c r="R117" s="155"/>
      <c r="S117" s="155"/>
      <c r="T117" s="155"/>
      <c r="U117" s="155"/>
      <c r="V117" s="156">
        <f t="shared" si="316"/>
        <v>0</v>
      </c>
      <c r="W117" s="155"/>
      <c r="X117" s="155"/>
      <c r="Y117" s="155"/>
      <c r="Z117" s="155"/>
      <c r="AA117" s="156"/>
      <c r="AB117" s="155"/>
      <c r="AC117" s="155"/>
      <c r="AD117" s="155"/>
      <c r="AE117" s="155"/>
      <c r="AF117" s="156">
        <f t="shared" si="318"/>
        <v>0</v>
      </c>
      <c r="AG117" s="155"/>
      <c r="AH117" s="155"/>
      <c r="AI117" s="155"/>
      <c r="AJ117" s="155"/>
      <c r="AK117" s="156">
        <f t="shared" si="319"/>
        <v>0</v>
      </c>
      <c r="AL117" s="156">
        <f t="shared" si="320"/>
        <v>0</v>
      </c>
      <c r="AM117" s="156">
        <f t="shared" si="320"/>
        <v>0</v>
      </c>
      <c r="AN117" s="156">
        <f t="shared" si="320"/>
        <v>0</v>
      </c>
    </row>
    <row r="118" spans="1:40" ht="15" customHeight="1" x14ac:dyDescent="0.2">
      <c r="A118" s="12" t="s">
        <v>144</v>
      </c>
      <c r="B118" s="12"/>
      <c r="C118" s="34">
        <f t="shared" ref="C118:E118" si="321">SUM(C115:C117)</f>
        <v>259.92399999999998</v>
      </c>
      <c r="D118" s="34">
        <f t="shared" si="321"/>
        <v>275.89000000000004</v>
      </c>
      <c r="E118" s="34">
        <f t="shared" si="321"/>
        <v>253.23000000000002</v>
      </c>
      <c r="F118" s="34">
        <f t="shared" ref="F118:O118" si="322">SUM(F115:F117)</f>
        <v>230.63299999999998</v>
      </c>
      <c r="G118" s="143">
        <f>SUM(G115:G117)</f>
        <v>1019.6769999999999</v>
      </c>
      <c r="H118" s="34">
        <f t="shared" si="322"/>
        <v>246.43</v>
      </c>
      <c r="I118" s="34">
        <f t="shared" si="322"/>
        <v>245.98400000000001</v>
      </c>
      <c r="J118" s="34">
        <f t="shared" si="322"/>
        <v>217.33199999999999</v>
      </c>
      <c r="K118" s="34">
        <f t="shared" si="322"/>
        <v>194.95600000000002</v>
      </c>
      <c r="L118" s="143">
        <f>SUM(L115:L117)</f>
        <v>904.70199999999988</v>
      </c>
      <c r="M118" s="34">
        <f t="shared" si="322"/>
        <v>215.952</v>
      </c>
      <c r="N118" s="34">
        <f t="shared" si="322"/>
        <v>216.61500000000001</v>
      </c>
      <c r="O118" s="34">
        <f t="shared" si="322"/>
        <v>215.76300000000001</v>
      </c>
      <c r="P118" s="34">
        <f t="shared" ref="P118:AL118" si="323">SUM(P115:P117)</f>
        <v>193.38499999999999</v>
      </c>
      <c r="Q118" s="143">
        <f>SUM(Q115:Q117)</f>
        <v>841.71500000000003</v>
      </c>
      <c r="R118" s="34">
        <f t="shared" si="323"/>
        <v>205.15100000000001</v>
      </c>
      <c r="S118" s="34">
        <f t="shared" si="323"/>
        <v>214.08199999999999</v>
      </c>
      <c r="T118" s="34">
        <f t="shared" si="323"/>
        <v>212.62</v>
      </c>
      <c r="U118" s="34">
        <f t="shared" si="323"/>
        <v>231.61500000000001</v>
      </c>
      <c r="V118" s="143">
        <f>SUM(V115:V117)</f>
        <v>863.46799999999996</v>
      </c>
      <c r="W118" s="34">
        <v>222.934</v>
      </c>
      <c r="X118" s="34">
        <f t="shared" si="323"/>
        <v>222.934</v>
      </c>
      <c r="Y118" s="34">
        <f t="shared" si="323"/>
        <v>222.934</v>
      </c>
      <c r="Z118" s="34">
        <f t="shared" si="323"/>
        <v>222.934</v>
      </c>
      <c r="AA118" s="143">
        <f>SUM(AA115:AA117)</f>
        <v>891.73599999999999</v>
      </c>
      <c r="AB118" s="34">
        <f t="shared" si="323"/>
        <v>222.934</v>
      </c>
      <c r="AC118" s="34">
        <f t="shared" si="323"/>
        <v>222.934</v>
      </c>
      <c r="AD118" s="34">
        <f t="shared" si="323"/>
        <v>222.934</v>
      </c>
      <c r="AE118" s="34">
        <f t="shared" si="323"/>
        <v>222.934</v>
      </c>
      <c r="AF118" s="143">
        <f>SUM(AF115:AF117)</f>
        <v>891.73599999999999</v>
      </c>
      <c r="AG118" s="34">
        <f t="shared" si="323"/>
        <v>222.934</v>
      </c>
      <c r="AH118" s="34">
        <f t="shared" si="323"/>
        <v>222.934</v>
      </c>
      <c r="AI118" s="34">
        <f t="shared" si="323"/>
        <v>222.934</v>
      </c>
      <c r="AJ118" s="34">
        <f t="shared" si="323"/>
        <v>222.934</v>
      </c>
      <c r="AK118" s="143">
        <f>SUM(AK115:AK117)</f>
        <v>891.73599999999999</v>
      </c>
      <c r="AL118" s="143">
        <f t="shared" si="323"/>
        <v>891.73599999999999</v>
      </c>
      <c r="AM118" s="143">
        <f t="shared" ref="AM118:AN118" si="324">SUM(AM115:AM117)</f>
        <v>891.73599999999999</v>
      </c>
      <c r="AN118" s="143">
        <f t="shared" si="324"/>
        <v>891.73599999999999</v>
      </c>
    </row>
    <row r="119" spans="1:40" ht="15" customHeight="1" x14ac:dyDescent="0.2">
      <c r="G119" s="156"/>
      <c r="H119" s="155"/>
      <c r="I119" s="155"/>
      <c r="J119" s="155"/>
      <c r="K119" s="155"/>
      <c r="L119" s="156"/>
      <c r="M119" s="155"/>
      <c r="N119" s="155"/>
      <c r="O119" s="155"/>
      <c r="P119" s="155"/>
      <c r="Q119" s="156"/>
      <c r="R119" s="155"/>
      <c r="S119" s="155"/>
      <c r="T119" s="155"/>
      <c r="U119" s="155"/>
      <c r="V119" s="156"/>
      <c r="W119" s="155"/>
      <c r="X119" s="155"/>
      <c r="Y119" s="155"/>
      <c r="Z119" s="155"/>
      <c r="AA119" s="206"/>
      <c r="AB119" s="155"/>
      <c r="AC119" s="155"/>
      <c r="AD119" s="155"/>
      <c r="AE119" s="155"/>
      <c r="AF119" s="156"/>
      <c r="AG119" s="155"/>
      <c r="AH119" s="155"/>
      <c r="AI119" s="155"/>
      <c r="AJ119" s="155"/>
      <c r="AK119" s="156"/>
      <c r="AL119" s="156"/>
      <c r="AM119" s="156"/>
      <c r="AN119" s="156"/>
    </row>
    <row r="120" spans="1:40" ht="15" customHeight="1" thickBot="1" x14ac:dyDescent="0.25">
      <c r="A120" s="29" t="s">
        <v>147</v>
      </c>
      <c r="B120" s="29"/>
      <c r="C120" s="118">
        <f t="shared" ref="C120:G120" si="325">SUM(C113,C118)</f>
        <v>652.81099999999992</v>
      </c>
      <c r="D120" s="118">
        <f t="shared" si="325"/>
        <v>758.84400000000005</v>
      </c>
      <c r="E120" s="118">
        <f t="shared" si="325"/>
        <v>752.005</v>
      </c>
      <c r="F120" s="118">
        <f t="shared" si="325"/>
        <v>736.53700000000003</v>
      </c>
      <c r="G120" s="144">
        <f t="shared" si="325"/>
        <v>2900.1970000000001</v>
      </c>
      <c r="H120" s="118">
        <f t="shared" ref="H120:AJ120" si="326">SUM(H113,H118)</f>
        <v>720.35500000000002</v>
      </c>
      <c r="I120" s="118">
        <f t="shared" si="326"/>
        <v>720.22</v>
      </c>
      <c r="J120" s="118">
        <f t="shared" si="326"/>
        <v>523.82600000000002</v>
      </c>
      <c r="K120" s="118">
        <f t="shared" si="326"/>
        <v>531.2639999999999</v>
      </c>
      <c r="L120" s="144">
        <f t="shared" si="326"/>
        <v>2495.665</v>
      </c>
      <c r="M120" s="118">
        <f t="shared" si="326"/>
        <v>537.61900000000003</v>
      </c>
      <c r="N120" s="118">
        <f t="shared" si="326"/>
        <v>581.32100000000003</v>
      </c>
      <c r="O120" s="118">
        <f t="shared" si="326"/>
        <v>556.67500000000007</v>
      </c>
      <c r="P120" s="118">
        <f t="shared" si="326"/>
        <v>570.21699999999998</v>
      </c>
      <c r="Q120" s="144">
        <f t="shared" ref="Q120" si="327">SUM(Q113,Q118)</f>
        <v>2245.8319999999999</v>
      </c>
      <c r="R120" s="118">
        <f t="shared" si="326"/>
        <v>541.58600000000001</v>
      </c>
      <c r="S120" s="118">
        <f t="shared" si="326"/>
        <v>586.83899999999994</v>
      </c>
      <c r="T120" s="118">
        <f t="shared" si="326"/>
        <v>614.33199999999999</v>
      </c>
      <c r="U120" s="118">
        <f t="shared" si="326"/>
        <v>640.03300000000002</v>
      </c>
      <c r="V120" s="144">
        <f t="shared" si="326"/>
        <v>2382.79</v>
      </c>
      <c r="W120" s="118">
        <f t="shared" si="326"/>
        <v>618.61900000000003</v>
      </c>
      <c r="X120" s="118">
        <f t="shared" si="326"/>
        <v>651.22886249999999</v>
      </c>
      <c r="Y120" s="118">
        <f t="shared" si="326"/>
        <v>682.44636250000008</v>
      </c>
      <c r="Z120" s="118">
        <f t="shared" si="326"/>
        <v>702.56706250000002</v>
      </c>
      <c r="AA120" s="144">
        <f t="shared" ref="AA120" si="328">SUM(AA113,AA118)</f>
        <v>2654.9204374999999</v>
      </c>
      <c r="AB120" s="118">
        <f t="shared" si="326"/>
        <v>706.83743075000007</v>
      </c>
      <c r="AC120" s="118">
        <f t="shared" si="326"/>
        <v>698.55394875000002</v>
      </c>
      <c r="AD120" s="118">
        <f t="shared" si="326"/>
        <v>740.89331374999995</v>
      </c>
      <c r="AE120" s="118">
        <f t="shared" si="326"/>
        <v>746.86881874999995</v>
      </c>
      <c r="AF120" s="144">
        <f t="shared" si="326"/>
        <v>2893.1535119999999</v>
      </c>
      <c r="AG120" s="118">
        <f t="shared" si="326"/>
        <v>763.7485025499999</v>
      </c>
      <c r="AH120" s="118">
        <f t="shared" si="326"/>
        <v>745.94870824999998</v>
      </c>
      <c r="AI120" s="118">
        <f t="shared" si="326"/>
        <v>788.20733425000003</v>
      </c>
      <c r="AJ120" s="118">
        <f t="shared" si="326"/>
        <v>792.56420875000003</v>
      </c>
      <c r="AK120" s="144">
        <f t="shared" ref="AK120:AN120" si="329">SUM(AK113,AK118)</f>
        <v>3090.4687537999998</v>
      </c>
      <c r="AL120" s="144">
        <f t="shared" si="329"/>
        <v>3180.5296166800003</v>
      </c>
      <c r="AM120" s="144">
        <f t="shared" si="329"/>
        <v>3279.596565848</v>
      </c>
      <c r="AN120" s="144">
        <f t="shared" si="329"/>
        <v>3388.5702099328005</v>
      </c>
    </row>
    <row r="121" spans="1:40" ht="15" customHeight="1" thickTop="1" x14ac:dyDescent="0.2">
      <c r="G121" s="156"/>
      <c r="H121" s="155"/>
      <c r="I121" s="155"/>
      <c r="J121" s="155"/>
      <c r="K121" s="155"/>
      <c r="L121" s="156"/>
      <c r="M121" s="155"/>
      <c r="N121" s="155"/>
      <c r="O121" s="155"/>
      <c r="P121" s="155"/>
      <c r="Q121" s="156"/>
      <c r="R121" s="155"/>
      <c r="S121" s="155"/>
      <c r="T121" s="155"/>
      <c r="U121" s="155"/>
      <c r="V121" s="156"/>
      <c r="W121" s="155"/>
      <c r="X121" s="155"/>
      <c r="Y121" s="155"/>
      <c r="Z121" s="155"/>
      <c r="AA121" s="206"/>
      <c r="AB121" s="155"/>
      <c r="AC121" s="155"/>
      <c r="AD121" s="155"/>
      <c r="AE121" s="155"/>
      <c r="AF121" s="156"/>
      <c r="AG121" s="155"/>
      <c r="AH121" s="155"/>
      <c r="AI121" s="155"/>
      <c r="AJ121" s="155"/>
      <c r="AK121" s="156"/>
      <c r="AL121" s="156"/>
      <c r="AM121" s="156"/>
      <c r="AN121" s="156"/>
    </row>
    <row r="122" spans="1:40" ht="15" customHeight="1" x14ac:dyDescent="0.2">
      <c r="A122" s="119" t="s">
        <v>442</v>
      </c>
      <c r="B122" s="119"/>
      <c r="C122" s="119"/>
      <c r="D122" s="119"/>
      <c r="E122" s="119"/>
      <c r="F122" s="119"/>
      <c r="G122" s="123"/>
      <c r="H122" s="119"/>
      <c r="I122" s="119"/>
      <c r="J122" s="119"/>
      <c r="K122" s="119"/>
      <c r="L122" s="123"/>
      <c r="M122" s="119"/>
      <c r="N122" s="119"/>
      <c r="O122" s="119"/>
      <c r="P122" s="119"/>
      <c r="Q122" s="123"/>
      <c r="R122" s="119"/>
      <c r="S122" s="119"/>
      <c r="T122" s="119"/>
      <c r="U122" s="119"/>
      <c r="V122" s="123"/>
      <c r="W122" s="119"/>
      <c r="X122" s="119"/>
      <c r="Y122" s="119"/>
      <c r="Z122" s="119"/>
      <c r="AA122" s="123"/>
      <c r="AB122" s="119"/>
      <c r="AC122" s="119"/>
      <c r="AD122" s="119"/>
      <c r="AE122" s="119"/>
      <c r="AF122" s="123"/>
      <c r="AG122" s="119"/>
      <c r="AH122" s="119"/>
      <c r="AI122" s="119"/>
      <c r="AJ122" s="119"/>
      <c r="AK122" s="123"/>
      <c r="AL122" s="123"/>
      <c r="AM122" s="123"/>
      <c r="AN122" s="123"/>
    </row>
    <row r="123" spans="1:40" ht="15" customHeight="1" x14ac:dyDescent="0.2">
      <c r="A123" s="121" t="s">
        <v>137</v>
      </c>
      <c r="G123" s="156"/>
      <c r="H123" s="36">
        <f>H109/C109-1</f>
        <v>0.12923107581062987</v>
      </c>
      <c r="I123" s="36">
        <f t="shared" ref="I123:L123" si="330">I109/D109-1</f>
        <v>-0.17054312475981237</v>
      </c>
      <c r="J123" s="36">
        <f t="shared" si="330"/>
        <v>-0.6334725437593709</v>
      </c>
      <c r="K123" s="36">
        <f t="shared" si="330"/>
        <v>-0.60549974179616017</v>
      </c>
      <c r="L123" s="206">
        <f t="shared" si="330"/>
        <v>-0.34129791183857705</v>
      </c>
      <c r="M123" s="36">
        <f>M109/H109-1</f>
        <v>-0.5204958844364892</v>
      </c>
      <c r="N123" s="36">
        <f t="shared" ref="N123" si="331">N109/I109-1</f>
        <v>-0.29529769725468513</v>
      </c>
      <c r="O123" s="36">
        <f t="shared" ref="O123" si="332">O109/J109-1</f>
        <v>0.5091530311579211</v>
      </c>
      <c r="P123" s="36">
        <f t="shared" ref="P123" si="333">P109/K109-1</f>
        <v>0.66996400202302797</v>
      </c>
      <c r="Q123" s="206">
        <f t="shared" ref="Q123" si="334">Q109/L109-1</f>
        <v>-0.10997545509387385</v>
      </c>
      <c r="R123" s="36">
        <f>R109/M109-1</f>
        <v>0.37782100655879902</v>
      </c>
      <c r="S123" s="36">
        <f t="shared" ref="S123" si="335">S109/N109-1</f>
        <v>0.20589360887868358</v>
      </c>
      <c r="T123" s="36">
        <f t="shared" ref="T123" si="336">T109/O109-1</f>
        <v>0.37052653442725081</v>
      </c>
      <c r="U123" s="36">
        <f t="shared" ref="U123" si="337">U109/P109-1</f>
        <v>0.24486705562731048</v>
      </c>
      <c r="V123" s="206">
        <f t="shared" ref="V123" si="338">V109/Q109-1</f>
        <v>0.29206323746646556</v>
      </c>
      <c r="W123" s="36">
        <f>W109/R109-1</f>
        <v>0.23763169442695542</v>
      </c>
      <c r="X123" s="36">
        <f t="shared" ref="X123" si="339">X109/S109-1</f>
        <v>0.28646837796710889</v>
      </c>
      <c r="Y123" s="36">
        <f t="shared" ref="Y123" si="340">Y109/T109-1</f>
        <v>0.21649045601964145</v>
      </c>
      <c r="Z123" s="36">
        <f t="shared" ref="Z123" si="341">Z109/U109-1</f>
        <v>0.14391479732388834</v>
      </c>
      <c r="AA123" s="206">
        <f t="shared" ref="AA123" si="342">AA109/V109-1</f>
        <v>0.21783768455744279</v>
      </c>
      <c r="AB123" s="36">
        <f>AB109/W109-1</f>
        <v>0.32544548358905523</v>
      </c>
      <c r="AC123" s="36">
        <f t="shared" ref="AC123" si="343">AC109/X109-1</f>
        <v>0.13013340660252948</v>
      </c>
      <c r="AD123" s="36">
        <f t="shared" ref="AD123" si="344">AD109/Y109-1</f>
        <v>0.1490998032005697</v>
      </c>
      <c r="AE123" s="36">
        <f t="shared" ref="AE123" si="345">AE109/Z109-1</f>
        <v>0.17080459051130137</v>
      </c>
      <c r="AF123" s="206">
        <f t="shared" ref="AF123" si="346">AF109/AA109-1</f>
        <v>0.18748932026688547</v>
      </c>
      <c r="AG123" s="36">
        <f>AG109/AB109-1</f>
        <v>0.15373705965574791</v>
      </c>
      <c r="AH123" s="36">
        <f t="shared" ref="AH123" si="347">AH109/AC109-1</f>
        <v>0.11755631274912304</v>
      </c>
      <c r="AI123" s="36">
        <f t="shared" ref="AI123" si="348">AI109/AD109-1</f>
        <v>0.1111555881783457</v>
      </c>
      <c r="AJ123" s="36">
        <f t="shared" ref="AJ123" si="349">AJ109/AE109-1</f>
        <v>0.11716539776581492</v>
      </c>
      <c r="AK123" s="206">
        <f t="shared" ref="AK123:AK124" si="350">AK109/AF109-1</f>
        <v>0.1244340990018471</v>
      </c>
      <c r="AL123" s="206">
        <f>AL109/AK109-1</f>
        <v>0</v>
      </c>
      <c r="AM123" s="206">
        <f t="shared" ref="AM123:AN123" si="351">AM109/AL109-1</f>
        <v>0</v>
      </c>
      <c r="AN123" s="206">
        <f t="shared" si="351"/>
        <v>0</v>
      </c>
    </row>
    <row r="124" spans="1:40" ht="15" customHeight="1" x14ac:dyDescent="0.2">
      <c r="A124" s="121" t="s">
        <v>138</v>
      </c>
      <c r="G124" s="156"/>
      <c r="H124" s="36">
        <f t="shared" ref="H124:H126" si="352">H110/C110-1</f>
        <v>0.13094083414161006</v>
      </c>
      <c r="I124" s="36">
        <f t="shared" ref="I124:I126" si="353">I110/D110-1</f>
        <v>-4.0556016835113229E-2</v>
      </c>
      <c r="J124" s="36">
        <f t="shared" ref="J124:J126" si="354">J110/E110-1</f>
        <v>-0.45274420765158618</v>
      </c>
      <c r="K124" s="36">
        <f t="shared" ref="K124:K126" si="355">K110/F110-1</f>
        <v>-0.41300173947290708</v>
      </c>
      <c r="L124" s="206">
        <f t="shared" ref="L124:M126" si="356">L110/G110-1</f>
        <v>-0.19677176347693326</v>
      </c>
      <c r="M124" s="36">
        <f t="shared" si="356"/>
        <v>-0.47974239247824146</v>
      </c>
      <c r="N124" s="36">
        <f t="shared" ref="N124:N126" si="357">N110/I110-1</f>
        <v>-0.42123364318646395</v>
      </c>
      <c r="O124" s="36">
        <f t="shared" ref="O124:O126" si="358">O110/J110-1</f>
        <v>0.10501668325235625</v>
      </c>
      <c r="P124" s="36">
        <f t="shared" ref="P124:P126" si="359">P110/K110-1</f>
        <v>0.22929508952908195</v>
      </c>
      <c r="Q124" s="206">
        <f t="shared" ref="Q124:R126" si="360">Q110/L110-1</f>
        <v>-0.23333158264618858</v>
      </c>
      <c r="R124" s="36">
        <f t="shared" si="360"/>
        <v>0.31398916278714806</v>
      </c>
      <c r="S124" s="36">
        <f t="shared" ref="S124:S126" si="361">S110/N110-1</f>
        <v>0.39927042111911737</v>
      </c>
      <c r="T124" s="36">
        <f t="shared" ref="T124:T126" si="362">T110/O110-1</f>
        <v>0.43951634263919059</v>
      </c>
      <c r="U124" s="36">
        <f t="shared" ref="U124:U126" si="363">U110/P110-1</f>
        <v>0.33658536585365773</v>
      </c>
      <c r="V124" s="206">
        <f t="shared" ref="V124:W126" si="364">V110/Q110-1</f>
        <v>0.37297380173350225</v>
      </c>
      <c r="W124" s="36">
        <f t="shared" si="364"/>
        <v>0.47929303254884648</v>
      </c>
      <c r="X124" s="236">
        <v>0.3</v>
      </c>
      <c r="Y124" s="236">
        <v>0.3</v>
      </c>
      <c r="Z124" s="236">
        <v>0.3</v>
      </c>
      <c r="AA124" s="206">
        <f t="shared" ref="AA124:AA126" si="365">AA110/V110-1</f>
        <v>0.239499811110504</v>
      </c>
      <c r="AB124" s="236">
        <v>0.1</v>
      </c>
      <c r="AC124" s="236">
        <v>0.1</v>
      </c>
      <c r="AD124" s="236">
        <v>0.1</v>
      </c>
      <c r="AE124" s="236">
        <v>0.1</v>
      </c>
      <c r="AF124" s="206">
        <f t="shared" ref="AF124:AF126" si="366">AF110/AA110-1</f>
        <v>9.9999999999999867E-2</v>
      </c>
      <c r="AG124" s="236">
        <v>0.15</v>
      </c>
      <c r="AH124" s="236">
        <v>0.15</v>
      </c>
      <c r="AI124" s="236">
        <v>0.15</v>
      </c>
      <c r="AJ124" s="236">
        <v>0.15</v>
      </c>
      <c r="AK124" s="206">
        <f t="shared" si="350"/>
        <v>0.15000000000000013</v>
      </c>
      <c r="AL124" s="206">
        <v>0.1</v>
      </c>
      <c r="AM124" s="206">
        <v>0.1</v>
      </c>
      <c r="AN124" s="206">
        <v>0.1</v>
      </c>
    </row>
    <row r="125" spans="1:40" ht="15" customHeight="1" x14ac:dyDescent="0.2">
      <c r="A125" s="121" t="s">
        <v>139</v>
      </c>
      <c r="G125" s="156"/>
      <c r="H125" s="36">
        <f t="shared" si="352"/>
        <v>0.38385246867512457</v>
      </c>
      <c r="I125" s="36">
        <f t="shared" si="353"/>
        <v>0.13735102352730766</v>
      </c>
      <c r="J125" s="36">
        <f t="shared" si="354"/>
        <v>-0.24394025566027511</v>
      </c>
      <c r="K125" s="36">
        <f t="shared" si="355"/>
        <v>-0.1501378635595485</v>
      </c>
      <c r="L125" s="206">
        <f t="shared" si="356"/>
        <v>-6.9366343359626992E-3</v>
      </c>
      <c r="M125" s="36">
        <f t="shared" ref="M125:M126" si="367">M111/H111-1</f>
        <v>-6.8567900884151878E-2</v>
      </c>
      <c r="N125" s="36">
        <f t="shared" si="357"/>
        <v>-3.0528731031229328E-2</v>
      </c>
      <c r="O125" s="36">
        <f t="shared" si="358"/>
        <v>4.9584926612159297E-2</v>
      </c>
      <c r="P125" s="36">
        <f t="shared" si="359"/>
        <v>-6.01928683561338E-2</v>
      </c>
      <c r="Q125" s="206">
        <f t="shared" si="360"/>
        <v>-3.1256175607679793E-2</v>
      </c>
      <c r="R125" s="36">
        <f t="shared" ref="R125:R126" si="368">R111/M111-1</f>
        <v>-0.19722237035569812</v>
      </c>
      <c r="S125" s="36">
        <f t="shared" si="361"/>
        <v>-0.2788321167883212</v>
      </c>
      <c r="T125" s="36">
        <f t="shared" si="362"/>
        <v>-1.7055731886283731E-2</v>
      </c>
      <c r="U125" s="36">
        <f t="shared" si="363"/>
        <v>-0.17574253487965086</v>
      </c>
      <c r="V125" s="206">
        <f t="shared" si="364"/>
        <v>-0.17221737296862583</v>
      </c>
      <c r="W125" s="36">
        <f t="shared" ref="W125:W126" si="369">W111/R111-1</f>
        <v>-0.14240806642941883</v>
      </c>
      <c r="X125" s="36">
        <f t="shared" ref="X125" si="370">X111/S111-1</f>
        <v>0.10523504273504281</v>
      </c>
      <c r="Y125" s="36">
        <f t="shared" ref="Y125" si="371">Y111/T111-1</f>
        <v>-0.10180243913024611</v>
      </c>
      <c r="Z125" s="36">
        <f t="shared" ref="Z125" si="372">Z111/U111-1</f>
        <v>0.16919584266193133</v>
      </c>
      <c r="AA125" s="206">
        <f t="shared" si="365"/>
        <v>2.5866317864724486E-3</v>
      </c>
      <c r="AB125" s="36">
        <f t="shared" ref="AB125" si="373">AB111/W111-1</f>
        <v>0.34069299398298658</v>
      </c>
      <c r="AC125" s="36">
        <f t="shared" ref="AC125" si="374">AC111/X111-1</f>
        <v>0.12072956678792202</v>
      </c>
      <c r="AD125" s="36">
        <f t="shared" ref="AD125" si="375">AD111/Y111-1</f>
        <v>0.17085850603299191</v>
      </c>
      <c r="AE125" s="36">
        <f t="shared" ref="AE125" si="376">AE111/Z111-1</f>
        <v>0</v>
      </c>
      <c r="AF125" s="206">
        <f t="shared" si="366"/>
        <v>0.14539894816354049</v>
      </c>
      <c r="AG125" s="36">
        <f t="shared" ref="AG125" si="377">AG111/AB111-1</f>
        <v>0</v>
      </c>
      <c r="AH125" s="36">
        <f t="shared" ref="AH125" si="378">AH111/AC111-1</f>
        <v>3.7141966914762126E-3</v>
      </c>
      <c r="AI125" s="36">
        <f t="shared" ref="AI125" si="379">AI111/AD111-1</f>
        <v>3.7141966914762126E-3</v>
      </c>
      <c r="AJ125" s="36">
        <f t="shared" ref="AJ125" si="380">AJ111/AE111-1</f>
        <v>3.7141966914762126E-3</v>
      </c>
      <c r="AK125" s="206">
        <f t="shared" ref="AK125:AK126" si="381">AK111/AF111-1</f>
        <v>2.7856475186072149E-3</v>
      </c>
      <c r="AL125" s="206">
        <f t="shared" ref="AL125:AN125" si="382">AL111/AK111-1</f>
        <v>0</v>
      </c>
      <c r="AM125" s="206">
        <f t="shared" si="382"/>
        <v>0</v>
      </c>
      <c r="AN125" s="206">
        <f t="shared" si="382"/>
        <v>0</v>
      </c>
    </row>
    <row r="126" spans="1:40" ht="15" customHeight="1" x14ac:dyDescent="0.2">
      <c r="A126" s="121" t="s">
        <v>140</v>
      </c>
      <c r="G126" s="156"/>
      <c r="H126" s="36">
        <f t="shared" si="352"/>
        <v>0.23497895139686187</v>
      </c>
      <c r="I126" s="36">
        <f t="shared" si="353"/>
        <v>0.21321655010131391</v>
      </c>
      <c r="J126" s="36">
        <f t="shared" si="354"/>
        <v>0.20238209401791374</v>
      </c>
      <c r="K126" s="36">
        <f t="shared" si="355"/>
        <v>0.13435198690810757</v>
      </c>
      <c r="L126" s="206">
        <f t="shared" si="356"/>
        <v>0.19178698261557314</v>
      </c>
      <c r="M126" s="36">
        <f t="shared" si="367"/>
        <v>8.3255861997726388E-3</v>
      </c>
      <c r="N126" s="36">
        <f t="shared" si="357"/>
        <v>-0.10942298367544845</v>
      </c>
      <c r="O126" s="36">
        <f t="shared" si="358"/>
        <v>-0.17197045827949797</v>
      </c>
      <c r="P126" s="36">
        <f t="shared" si="359"/>
        <v>-0.20176882909159355</v>
      </c>
      <c r="Q126" s="206">
        <f t="shared" si="360"/>
        <v>-0.12725222294513128</v>
      </c>
      <c r="R126" s="36">
        <f t="shared" si="368"/>
        <v>-0.17742992951975078</v>
      </c>
      <c r="S126" s="36">
        <f t="shared" si="361"/>
        <v>-0.12276668683202263</v>
      </c>
      <c r="T126" s="36">
        <f t="shared" si="362"/>
        <v>-0.11685609709111922</v>
      </c>
      <c r="U126" s="36">
        <f t="shared" si="363"/>
        <v>-6.7008486562942005E-2</v>
      </c>
      <c r="V126" s="206">
        <f t="shared" si="364"/>
        <v>-0.1203954038526529</v>
      </c>
      <c r="W126" s="36">
        <f t="shared" si="369"/>
        <v>0.20287436485005461</v>
      </c>
      <c r="X126" s="236">
        <v>0.25</v>
      </c>
      <c r="Y126" s="236">
        <v>0.25</v>
      </c>
      <c r="Z126" s="236">
        <v>0.25</v>
      </c>
      <c r="AA126" s="206">
        <f t="shared" si="365"/>
        <v>0.18743467034301964</v>
      </c>
      <c r="AB126" s="236">
        <v>0.05</v>
      </c>
      <c r="AC126" s="236">
        <v>0.05</v>
      </c>
      <c r="AD126" s="236">
        <v>0.05</v>
      </c>
      <c r="AE126" s="236">
        <v>0.05</v>
      </c>
      <c r="AF126" s="206">
        <f t="shared" si="366"/>
        <v>5.0000000000000044E-2</v>
      </c>
      <c r="AG126" s="236">
        <v>0.2</v>
      </c>
      <c r="AH126" s="236">
        <v>0.2</v>
      </c>
      <c r="AI126" s="236">
        <v>0.2</v>
      </c>
      <c r="AJ126" s="236">
        <v>0.2</v>
      </c>
      <c r="AK126" s="206">
        <f t="shared" si="381"/>
        <v>9.0690210577154096E-2</v>
      </c>
      <c r="AL126" s="206">
        <v>0.1</v>
      </c>
      <c r="AM126" s="206">
        <v>0.1</v>
      </c>
      <c r="AN126" s="206">
        <v>0.1</v>
      </c>
    </row>
    <row r="127" spans="1:40" s="12" customFormat="1" ht="15" customHeight="1" x14ac:dyDescent="0.2">
      <c r="A127" s="12" t="s">
        <v>145</v>
      </c>
      <c r="G127" s="143"/>
      <c r="H127" s="234">
        <f t="shared" ref="H127" si="383">H113/C113-1</f>
        <v>0.20626286947646522</v>
      </c>
      <c r="I127" s="234">
        <f t="shared" ref="I127" si="384">I113/D113-1</f>
        <v>-1.8051408622767329E-2</v>
      </c>
      <c r="J127" s="234">
        <f t="shared" ref="J127" si="385">J113/E113-1</f>
        <v>-0.38550649090271161</v>
      </c>
      <c r="K127" s="234">
        <f t="shared" ref="K127" si="386">K113/F113-1</f>
        <v>-0.33523356209873834</v>
      </c>
      <c r="L127" s="308">
        <f t="shared" ref="L127" si="387">L113/G113-1</f>
        <v>-0.15397709144279248</v>
      </c>
      <c r="M127" s="234">
        <f t="shared" ref="M127" si="388">M113/H113-1</f>
        <v>-0.32127024318193798</v>
      </c>
      <c r="N127" s="234">
        <f t="shared" ref="N127" si="389">N113/I113-1</f>
        <v>-0.23096095614841561</v>
      </c>
      <c r="O127" s="234">
        <f t="shared" ref="O127" si="390">O113/J113-1</f>
        <v>0.1122958361338231</v>
      </c>
      <c r="P127" s="234">
        <f t="shared" ref="P127" si="391">P113/K113-1</f>
        <v>0.12049668756021292</v>
      </c>
      <c r="Q127" s="308">
        <f t="shared" ref="Q127" si="392">Q113/L113-1</f>
        <v>-0.11744207753417268</v>
      </c>
      <c r="R127" s="234">
        <f t="shared" ref="R127" si="393">R113/M113-1</f>
        <v>4.5910833253022476E-2</v>
      </c>
      <c r="S127" s="234">
        <f t="shared" ref="S127" si="394">S113/N113-1</f>
        <v>2.207531545957564E-2</v>
      </c>
      <c r="T127" s="234">
        <f t="shared" ref="T127" si="395">T113/O113-1</f>
        <v>0.17834514478809771</v>
      </c>
      <c r="U127" s="234">
        <f t="shared" ref="U127" si="396">U113/P113-1</f>
        <v>8.3819845448369623E-2</v>
      </c>
      <c r="V127" s="308">
        <f t="shared" ref="V127" si="397">V113/Q113-1</f>
        <v>8.2048005971012472E-2</v>
      </c>
      <c r="W127" s="234">
        <f t="shared" ref="W127" si="398">W113/R113-1</f>
        <v>0.17611128449774838</v>
      </c>
      <c r="X127" s="234">
        <f t="shared" ref="X127" si="399">X113/S113-1</f>
        <v>0.14899213830994462</v>
      </c>
      <c r="Y127" s="234">
        <f t="shared" ref="Y127" si="400">Y113/T113-1</f>
        <v>0.14388507811566509</v>
      </c>
      <c r="Z127" s="234">
        <f t="shared" ref="Z127" si="401">Z113/U113-1</f>
        <v>0.17436808000626813</v>
      </c>
      <c r="AA127" s="308">
        <f t="shared" ref="AA127" si="402">AA113/V113-1</f>
        <v>0.16050740889686321</v>
      </c>
      <c r="AB127" s="234">
        <f t="shared" ref="AB127" si="403">AB113/W113-1</f>
        <v>0.22295116254091019</v>
      </c>
      <c r="AC127" s="234">
        <f t="shared" ref="AC127" si="404">AC113/X113-1</f>
        <v>0.110496506947944</v>
      </c>
      <c r="AD127" s="234">
        <f t="shared" ref="AD127" si="405">AD113/Y113-1</f>
        <v>0.12719342507352005</v>
      </c>
      <c r="AE127" s="234">
        <f t="shared" ref="AE127" si="406">AE113/Z113-1</f>
        <v>9.2365934948448247E-2</v>
      </c>
      <c r="AF127" s="308">
        <f t="shared" ref="AF127" si="407">AF113/AA113-1</f>
        <v>0.1351152320955078</v>
      </c>
      <c r="AG127" s="234">
        <f t="shared" ref="AG127" si="408">AG113/AB113-1</f>
        <v>0.1176083246853481</v>
      </c>
      <c r="AH127" s="234">
        <f t="shared" ref="AH127" si="409">AH113/AC113-1</f>
        <v>9.9648384439215532E-2</v>
      </c>
      <c r="AI127" s="234">
        <f t="shared" ref="AI127" si="410">AI113/AD113-1</f>
        <v>9.1346982753237604E-2</v>
      </c>
      <c r="AJ127" s="234">
        <f t="shared" ref="AJ127" si="411">AJ113/AE113-1</f>
        <v>8.7215791668551201E-2</v>
      </c>
      <c r="AK127" s="308">
        <f t="shared" ref="AK127" si="412">AK113/AF113-1</f>
        <v>9.858774624332356E-2</v>
      </c>
      <c r="AL127" s="308">
        <f t="shared" ref="AL127:AN127" si="413">AL113/AK113-1</f>
        <v>4.0960349876241642E-2</v>
      </c>
      <c r="AM127" s="308">
        <f t="shared" si="413"/>
        <v>4.3283478442980305E-2</v>
      </c>
      <c r="AN127" s="308">
        <f t="shared" si="413"/>
        <v>4.563651900089094E-2</v>
      </c>
    </row>
    <row r="128" spans="1:40" ht="15" customHeight="1" x14ac:dyDescent="0.2">
      <c r="G128" s="156"/>
      <c r="H128" s="155"/>
      <c r="I128" s="155"/>
      <c r="J128" s="155"/>
      <c r="K128" s="155"/>
      <c r="L128" s="156"/>
      <c r="M128" s="155"/>
      <c r="N128" s="155"/>
      <c r="O128" s="155"/>
      <c r="P128" s="155"/>
      <c r="Q128" s="156"/>
      <c r="R128" s="155"/>
      <c r="S128" s="155"/>
      <c r="T128" s="155"/>
      <c r="U128" s="155"/>
      <c r="V128" s="156"/>
      <c r="W128" s="155"/>
      <c r="X128" s="155"/>
      <c r="Y128" s="155"/>
      <c r="Z128" s="155"/>
      <c r="AA128" s="206"/>
      <c r="AB128" s="155"/>
      <c r="AC128" s="155"/>
      <c r="AD128" s="155"/>
      <c r="AE128" s="155"/>
      <c r="AF128" s="156"/>
      <c r="AG128" s="155"/>
      <c r="AH128" s="155"/>
      <c r="AI128" s="155"/>
      <c r="AJ128" s="155"/>
      <c r="AK128" s="156"/>
      <c r="AL128" s="156"/>
      <c r="AM128" s="156"/>
      <c r="AN128" s="156"/>
    </row>
    <row r="129" spans="1:40" ht="15" customHeight="1" x14ac:dyDescent="0.2">
      <c r="A129" s="121" t="s">
        <v>141</v>
      </c>
      <c r="G129" s="156"/>
      <c r="H129" s="36">
        <f t="shared" ref="H129:H132" si="414">H115/C115-1</f>
        <v>-0.10950390047417535</v>
      </c>
      <c r="I129" s="36">
        <f t="shared" ref="I129:I132" si="415">I115/D115-1</f>
        <v>-0.21840129601399239</v>
      </c>
      <c r="J129" s="36">
        <f t="shared" ref="J129:J132" si="416">J115/E115-1</f>
        <v>-0.14401987893684343</v>
      </c>
      <c r="K129" s="36">
        <f t="shared" ref="K129:K132" si="417">K115/F115-1</f>
        <v>-0.15405115274674519</v>
      </c>
      <c r="L129" s="206">
        <f t="shared" ref="L129:L132" si="418">L115/G115-1</f>
        <v>-0.15786888126783971</v>
      </c>
      <c r="M129" s="36">
        <f t="shared" ref="M129:M132" si="419">M115/H115-1</f>
        <v>-5.571619153407037E-2</v>
      </c>
      <c r="N129" s="36">
        <f t="shared" ref="N129:N132" si="420">N115/I115-1</f>
        <v>-3.18547277674186E-3</v>
      </c>
      <c r="O129" s="36">
        <f t="shared" ref="O129:O132" si="421">O115/J115-1</f>
        <v>4.6214201153623291E-2</v>
      </c>
      <c r="P129" s="36">
        <f t="shared" ref="P129:P132" si="422">P115/K115-1</f>
        <v>7.6020155965265346E-2</v>
      </c>
      <c r="Q129" s="206">
        <f t="shared" ref="Q129:Q132" si="423">Q115/L115-1</f>
        <v>1.1684359462813543E-2</v>
      </c>
      <c r="R129" s="36">
        <f t="shared" ref="R129:R130" si="424">R115/M115-1</f>
        <v>-3.9946156364827012E-2</v>
      </c>
      <c r="S129" s="36">
        <f t="shared" ref="S129:S130" si="425">S115/N115-1</f>
        <v>-3.9077738385858041E-2</v>
      </c>
      <c r="T129" s="36">
        <f t="shared" ref="T129:T130" si="426">T115/O115-1</f>
        <v>-7.2545939341410737E-2</v>
      </c>
      <c r="U129" s="36">
        <f t="shared" ref="U129:U130" si="427">U115/P115-1</f>
        <v>0.1503767646917662</v>
      </c>
      <c r="V129" s="206">
        <f t="shared" ref="V129:V130" si="428">V115/Q115-1</f>
        <v>-4.812906088951352E-3</v>
      </c>
      <c r="W129" s="36">
        <f t="shared" ref="W129:W130" si="429">W115/R115-1</f>
        <v>1.9936289854078915E-2</v>
      </c>
      <c r="X129" s="36">
        <f t="shared" ref="X129:X130" si="430">X115/S115-1</f>
        <v>3.0815141531540524E-2</v>
      </c>
      <c r="Y129" s="36">
        <f t="shared" ref="Y129:Y130" si="431">Y115/T115-1</f>
        <v>4.8027727417455646E-2</v>
      </c>
      <c r="Z129" s="36">
        <f t="shared" ref="Z129:Z130" si="432">Z115/U115-1</f>
        <v>-3.7480301362174395E-2</v>
      </c>
      <c r="AA129" s="206">
        <f t="shared" ref="AA129:AA130" si="433">AA115/V115-1</f>
        <v>1.4283020401502089E-2</v>
      </c>
      <c r="AB129" s="36">
        <f t="shared" ref="AB129:AB130" si="434">AB115/W115-1</f>
        <v>0</v>
      </c>
      <c r="AC129" s="36">
        <f t="shared" ref="AC129:AC130" si="435">AC115/X115-1</f>
        <v>0</v>
      </c>
      <c r="AD129" s="36">
        <f t="shared" ref="AD129:AD130" si="436">AD115/Y115-1</f>
        <v>0</v>
      </c>
      <c r="AE129" s="36">
        <f t="shared" ref="AE129:AE130" si="437">AE115/Z115-1</f>
        <v>0</v>
      </c>
      <c r="AF129" s="206">
        <f t="shared" ref="AF129:AF130" si="438">AF115/AA115-1</f>
        <v>0</v>
      </c>
      <c r="AG129" s="36">
        <f t="shared" ref="AG129:AG130" si="439">AG115/AB115-1</f>
        <v>0</v>
      </c>
      <c r="AH129" s="36">
        <f t="shared" ref="AH129:AH130" si="440">AH115/AC115-1</f>
        <v>0</v>
      </c>
      <c r="AI129" s="36">
        <f t="shared" ref="AI129:AI130" si="441">AI115/AD115-1</f>
        <v>0</v>
      </c>
      <c r="AJ129" s="36">
        <f t="shared" ref="AJ129:AJ130" si="442">AJ115/AE115-1</f>
        <v>0</v>
      </c>
      <c r="AK129" s="206">
        <f t="shared" ref="AK129:AK130" si="443">AK115/AF115-1</f>
        <v>0</v>
      </c>
      <c r="AL129" s="206">
        <f t="shared" ref="AL129:AN129" si="444">AL115/AK115-1</f>
        <v>0</v>
      </c>
      <c r="AM129" s="206">
        <f t="shared" si="444"/>
        <v>0</v>
      </c>
      <c r="AN129" s="206">
        <f t="shared" si="444"/>
        <v>0</v>
      </c>
    </row>
    <row r="130" spans="1:40" ht="15" customHeight="1" x14ac:dyDescent="0.2">
      <c r="A130" s="121" t="s">
        <v>142</v>
      </c>
      <c r="G130" s="156"/>
      <c r="H130" s="36">
        <f t="shared" si="414"/>
        <v>4.015188237195022E-2</v>
      </c>
      <c r="I130" s="36">
        <f t="shared" si="415"/>
        <v>0.14354149500833535</v>
      </c>
      <c r="J130" s="36">
        <f t="shared" si="416"/>
        <v>-4.7264607368813216E-3</v>
      </c>
      <c r="K130" s="36">
        <f t="shared" si="417"/>
        <v>5.6329519450801335E-2</v>
      </c>
      <c r="L130" s="206">
        <f t="shared" si="418"/>
        <v>5.856310457765268E-2</v>
      </c>
      <c r="M130" s="36">
        <f t="shared" si="419"/>
        <v>-9.126213592232979E-3</v>
      </c>
      <c r="N130" s="36">
        <f t="shared" si="420"/>
        <v>-0.10216495190857589</v>
      </c>
      <c r="O130" s="36">
        <f t="shared" si="421"/>
        <v>-7.2280596791683749E-2</v>
      </c>
      <c r="P130" s="36">
        <f t="shared" si="422"/>
        <v>-0.17614640740355636</v>
      </c>
      <c r="Q130" s="206">
        <f t="shared" si="423"/>
        <v>-9.2626570608816183E-2</v>
      </c>
      <c r="R130" s="36">
        <f t="shared" si="424"/>
        <v>-8.2559278855575124E-2</v>
      </c>
      <c r="S130" s="36">
        <f t="shared" si="425"/>
        <v>7.1629868796774909E-2</v>
      </c>
      <c r="T130" s="36">
        <f t="shared" si="426"/>
        <v>0.17956469165659006</v>
      </c>
      <c r="U130" s="36">
        <f t="shared" si="427"/>
        <v>0.34284151626067572</v>
      </c>
      <c r="V130" s="206">
        <f t="shared" si="428"/>
        <v>0.12307638933632026</v>
      </c>
      <c r="W130" s="36">
        <f t="shared" si="429"/>
        <v>0.31241658974825914</v>
      </c>
      <c r="X130" s="36">
        <f t="shared" si="430"/>
        <v>7.008842860802611E-2</v>
      </c>
      <c r="Y130" s="36">
        <f t="shared" si="431"/>
        <v>4.9776310989992245E-2</v>
      </c>
      <c r="Z130" s="36">
        <f t="shared" si="432"/>
        <v>-3.7480301362174395E-2</v>
      </c>
      <c r="AA130" s="206">
        <f t="shared" si="433"/>
        <v>8.4604857543079781E-2</v>
      </c>
      <c r="AB130" s="36">
        <f t="shared" si="434"/>
        <v>0</v>
      </c>
      <c r="AC130" s="36">
        <f t="shared" si="435"/>
        <v>0</v>
      </c>
      <c r="AD130" s="36">
        <f t="shared" si="436"/>
        <v>0</v>
      </c>
      <c r="AE130" s="36">
        <f t="shared" si="437"/>
        <v>0</v>
      </c>
      <c r="AF130" s="206">
        <f t="shared" si="438"/>
        <v>0</v>
      </c>
      <c r="AG130" s="36">
        <f t="shared" si="439"/>
        <v>0</v>
      </c>
      <c r="AH130" s="36">
        <f t="shared" si="440"/>
        <v>0</v>
      </c>
      <c r="AI130" s="36">
        <f t="shared" si="441"/>
        <v>0</v>
      </c>
      <c r="AJ130" s="36">
        <f t="shared" si="442"/>
        <v>0</v>
      </c>
      <c r="AK130" s="206">
        <f t="shared" si="443"/>
        <v>0</v>
      </c>
      <c r="AL130" s="206">
        <f t="shared" ref="AL130:AN130" si="445">AL116/AK116-1</f>
        <v>0</v>
      </c>
      <c r="AM130" s="206">
        <f t="shared" si="445"/>
        <v>0</v>
      </c>
      <c r="AN130" s="206">
        <f t="shared" si="445"/>
        <v>0</v>
      </c>
    </row>
    <row r="131" spans="1:40" ht="15" customHeight="1" x14ac:dyDescent="0.2">
      <c r="A131" s="121" t="s">
        <v>143</v>
      </c>
      <c r="G131" s="156"/>
      <c r="H131" s="36">
        <f t="shared" si="414"/>
        <v>0.41975913737571768</v>
      </c>
      <c r="I131" s="36">
        <f t="shared" si="415"/>
        <v>0.5748996261941024</v>
      </c>
      <c r="J131" s="36">
        <f t="shared" si="416"/>
        <v>-0.63900622896828241</v>
      </c>
      <c r="K131" s="36">
        <f t="shared" si="417"/>
        <v>-0.89158535039918951</v>
      </c>
      <c r="L131" s="206">
        <f t="shared" si="418"/>
        <v>-0.14870803905809116</v>
      </c>
      <c r="M131" s="36">
        <f t="shared" si="419"/>
        <v>-1</v>
      </c>
      <c r="N131" s="36">
        <f t="shared" si="420"/>
        <v>-1</v>
      </c>
      <c r="O131" s="36">
        <f t="shared" si="421"/>
        <v>-1</v>
      </c>
      <c r="P131" s="36">
        <f t="shared" si="422"/>
        <v>-1</v>
      </c>
      <c r="Q131" s="206">
        <f t="shared" si="423"/>
        <v>-1</v>
      </c>
      <c r="R131" s="36"/>
      <c r="S131" s="36"/>
      <c r="T131" s="36"/>
      <c r="U131" s="36"/>
      <c r="V131" s="206"/>
      <c r="W131" s="36"/>
      <c r="X131" s="36"/>
      <c r="Y131" s="36"/>
      <c r="Z131" s="36"/>
      <c r="AA131" s="206"/>
      <c r="AB131" s="36"/>
      <c r="AC131" s="36"/>
      <c r="AD131" s="36"/>
      <c r="AE131" s="36"/>
      <c r="AF131" s="206"/>
      <c r="AG131" s="36"/>
      <c r="AH131" s="36"/>
      <c r="AI131" s="36"/>
      <c r="AJ131" s="36"/>
      <c r="AK131" s="206"/>
      <c r="AL131" s="206"/>
      <c r="AM131" s="206"/>
      <c r="AN131" s="206"/>
    </row>
    <row r="132" spans="1:40" s="212" customFormat="1" ht="15" customHeight="1" x14ac:dyDescent="0.2">
      <c r="A132" s="12" t="s">
        <v>144</v>
      </c>
      <c r="G132" s="213"/>
      <c r="H132" s="234">
        <f t="shared" si="414"/>
        <v>-5.1915175205059838E-2</v>
      </c>
      <c r="I132" s="234">
        <f t="shared" si="415"/>
        <v>-0.10839827467468932</v>
      </c>
      <c r="J132" s="234">
        <f t="shared" si="416"/>
        <v>-0.14176045492240263</v>
      </c>
      <c r="K132" s="234">
        <f t="shared" si="417"/>
        <v>-0.15469165297247123</v>
      </c>
      <c r="L132" s="308">
        <f t="shared" si="418"/>
        <v>-0.11275629439518597</v>
      </c>
      <c r="M132" s="234">
        <f t="shared" si="419"/>
        <v>-0.12367812360508057</v>
      </c>
      <c r="N132" s="234">
        <f t="shared" si="420"/>
        <v>-0.1193939443215819</v>
      </c>
      <c r="O132" s="234">
        <f t="shared" si="421"/>
        <v>-7.2193694439842693E-3</v>
      </c>
      <c r="P132" s="234">
        <f t="shared" si="422"/>
        <v>-8.0582285233592454E-3</v>
      </c>
      <c r="Q132" s="308">
        <f t="shared" si="423"/>
        <v>-6.962182022367569E-2</v>
      </c>
      <c r="R132" s="234">
        <f t="shared" ref="R132" si="446">R118/M118-1</f>
        <v>-5.0015744239460536E-2</v>
      </c>
      <c r="S132" s="234">
        <f t="shared" ref="S132" si="447">S118/N118-1</f>
        <v>-1.1693557694527179E-2</v>
      </c>
      <c r="T132" s="234">
        <f t="shared" ref="T132" si="448">T118/O118-1</f>
        <v>-1.4566909062258104E-2</v>
      </c>
      <c r="U132" s="234">
        <f t="shared" ref="U132" si="449">U118/P118-1</f>
        <v>0.19768854874990316</v>
      </c>
      <c r="V132" s="308">
        <f t="shared" ref="V132" si="450">V118/Q118-1</f>
        <v>2.5843664423231161E-2</v>
      </c>
      <c r="W132" s="234">
        <f t="shared" ref="W132" si="451">W118/R118-1</f>
        <v>8.6682492408031164E-2</v>
      </c>
      <c r="X132" s="234">
        <f t="shared" ref="X132" si="452">X118/S118-1</f>
        <v>4.1348642109098499E-2</v>
      </c>
      <c r="Y132" s="234">
        <f t="shared" ref="Y132" si="453">Y118/T118-1</f>
        <v>4.8509077226977615E-2</v>
      </c>
      <c r="Z132" s="234">
        <f t="shared" ref="Z132" si="454">Z118/U118-1</f>
        <v>-3.7480301362174395E-2</v>
      </c>
      <c r="AA132" s="308">
        <f t="shared" ref="AA132" si="455">AA118/V118-1</f>
        <v>3.2737750559372225E-2</v>
      </c>
      <c r="AB132" s="234">
        <f t="shared" ref="AB132" si="456">AB118/W118-1</f>
        <v>0</v>
      </c>
      <c r="AC132" s="234">
        <f t="shared" ref="AC132" si="457">AC118/X118-1</f>
        <v>0</v>
      </c>
      <c r="AD132" s="234">
        <f t="shared" ref="AD132" si="458">AD118/Y118-1</f>
        <v>0</v>
      </c>
      <c r="AE132" s="234">
        <f t="shared" ref="AE132" si="459">AE118/Z118-1</f>
        <v>0</v>
      </c>
      <c r="AF132" s="308">
        <f t="shared" ref="AF132" si="460">AF118/AA118-1</f>
        <v>0</v>
      </c>
      <c r="AG132" s="234">
        <f t="shared" ref="AG132" si="461">AG118/AB118-1</f>
        <v>0</v>
      </c>
      <c r="AH132" s="234">
        <f t="shared" ref="AH132" si="462">AH118/AC118-1</f>
        <v>0</v>
      </c>
      <c r="AI132" s="234">
        <f t="shared" ref="AI132" si="463">AI118/AD118-1</f>
        <v>0</v>
      </c>
      <c r="AJ132" s="234">
        <f t="shared" ref="AJ132" si="464">AJ118/AE118-1</f>
        <v>0</v>
      </c>
      <c r="AK132" s="308">
        <f t="shared" ref="AK132" si="465">AK118/AF118-1</f>
        <v>0</v>
      </c>
      <c r="AL132" s="308">
        <f t="shared" ref="AL132:AN132" si="466">AL118/AK118-1</f>
        <v>0</v>
      </c>
      <c r="AM132" s="308">
        <f t="shared" si="466"/>
        <v>0</v>
      </c>
      <c r="AN132" s="308">
        <f t="shared" si="466"/>
        <v>0</v>
      </c>
    </row>
    <row r="133" spans="1:40" ht="15" customHeight="1" x14ac:dyDescent="0.2">
      <c r="G133" s="156"/>
      <c r="H133" s="155"/>
      <c r="I133" s="155"/>
      <c r="J133" s="155"/>
      <c r="K133" s="155"/>
      <c r="L133" s="156"/>
      <c r="M133" s="155"/>
      <c r="N133" s="155"/>
      <c r="O133" s="155"/>
      <c r="P133" s="155"/>
      <c r="Q133" s="156"/>
      <c r="R133" s="155"/>
      <c r="S133" s="155"/>
      <c r="T133" s="155"/>
      <c r="U133" s="155"/>
      <c r="V133" s="156"/>
      <c r="W133" s="155"/>
      <c r="X133" s="155"/>
      <c r="Y133" s="155"/>
      <c r="Z133" s="155"/>
      <c r="AA133" s="206"/>
      <c r="AB133" s="155"/>
      <c r="AC133" s="155"/>
      <c r="AD133" s="155"/>
      <c r="AE133" s="155"/>
      <c r="AF133" s="156"/>
      <c r="AG133" s="155"/>
      <c r="AH133" s="155"/>
      <c r="AI133" s="155"/>
      <c r="AJ133" s="155"/>
      <c r="AK133" s="156"/>
      <c r="AL133" s="156"/>
      <c r="AM133" s="156"/>
      <c r="AN133" s="156"/>
    </row>
    <row r="134" spans="1:40" ht="15" customHeight="1" thickBot="1" x14ac:dyDescent="0.25">
      <c r="A134" s="29" t="s">
        <v>147</v>
      </c>
      <c r="B134" s="29"/>
      <c r="C134" s="29"/>
      <c r="D134" s="29"/>
      <c r="E134" s="29"/>
      <c r="F134" s="29"/>
      <c r="G134" s="144"/>
      <c r="H134" s="235">
        <f t="shared" ref="H134" si="467">H120/C120-1</f>
        <v>0.10346639379544786</v>
      </c>
      <c r="I134" s="235">
        <f t="shared" ref="I134" si="468">I120/D120-1</f>
        <v>-5.0898471886184793E-2</v>
      </c>
      <c r="J134" s="235">
        <f t="shared" ref="J134" si="469">J120/E120-1</f>
        <v>-0.30342750380649064</v>
      </c>
      <c r="K134" s="235">
        <f t="shared" ref="K134" si="470">K120/F120-1</f>
        <v>-0.27870018749906678</v>
      </c>
      <c r="L134" s="309">
        <f t="shared" ref="L134" si="471">L120/G120-1</f>
        <v>-0.13948431778944681</v>
      </c>
      <c r="M134" s="235">
        <f t="shared" ref="M134" si="472">M120/H120-1</f>
        <v>-0.25367492416933313</v>
      </c>
      <c r="N134" s="235">
        <f t="shared" ref="N134" si="473">N120/I120-1</f>
        <v>-0.1928563494487795</v>
      </c>
      <c r="O134" s="235">
        <f t="shared" ref="O134" si="474">O120/J120-1</f>
        <v>6.2709754765895687E-2</v>
      </c>
      <c r="P134" s="235">
        <f t="shared" ref="P134" si="475">P120/K120-1</f>
        <v>7.3321361884110425E-2</v>
      </c>
      <c r="Q134" s="309">
        <f t="shared" ref="Q134" si="476">Q120/L120-1</f>
        <v>-0.100106785165477</v>
      </c>
      <c r="R134" s="235">
        <f t="shared" ref="R134" si="477">R120/M120-1</f>
        <v>7.3788314773102215E-3</v>
      </c>
      <c r="S134" s="235">
        <f t="shared" ref="S134" si="478">S120/N120-1</f>
        <v>9.4921738591928762E-3</v>
      </c>
      <c r="T134" s="235">
        <f t="shared" ref="T134" si="479">T120/O120-1</f>
        <v>0.10357389859433219</v>
      </c>
      <c r="U134" s="235">
        <f t="shared" ref="U134" si="480">U120/P120-1</f>
        <v>0.12243759831783341</v>
      </c>
      <c r="V134" s="309">
        <f t="shared" ref="V134" si="481">V120/Q120-1</f>
        <v>6.0983190194101811E-2</v>
      </c>
      <c r="W134" s="235">
        <f t="shared" ref="W134" si="482">W120/R120-1</f>
        <v>0.14223595144630763</v>
      </c>
      <c r="X134" s="235">
        <f t="shared" ref="X134" si="483">X120/S120-1</f>
        <v>0.10972321624840897</v>
      </c>
      <c r="Y134" s="235">
        <f t="shared" ref="Y134" si="484">Y120/T120-1</f>
        <v>0.11087549159086629</v>
      </c>
      <c r="Z134" s="235">
        <f t="shared" ref="Z134" si="485">Z120/U120-1</f>
        <v>9.770443477133206E-2</v>
      </c>
      <c r="AA134" s="309">
        <f t="shared" ref="AA134" si="486">AA120/V120-1</f>
        <v>0.11420663906596884</v>
      </c>
      <c r="AB134" s="235">
        <f t="shared" ref="AB134" si="487">AB120/W120-1</f>
        <v>0.14260543363524247</v>
      </c>
      <c r="AC134" s="235">
        <f t="shared" ref="AC134" si="488">AC120/X120-1</f>
        <v>7.26704373456728E-2</v>
      </c>
      <c r="AD134" s="235">
        <f t="shared" ref="AD134" si="489">AD120/Y120-1</f>
        <v>8.5643289292204106E-2</v>
      </c>
      <c r="AE134" s="235">
        <f t="shared" ref="AE134" si="490">AE120/Z120-1</f>
        <v>6.3056978635402494E-2</v>
      </c>
      <c r="AF134" s="309">
        <f t="shared" ref="AF134" si="491">AF120/AA120-1</f>
        <v>8.9732660585615021E-2</v>
      </c>
      <c r="AG134" s="235">
        <f t="shared" ref="AG134" si="492">AG120/AB120-1</f>
        <v>8.0515079315499172E-2</v>
      </c>
      <c r="AH134" s="235">
        <f t="shared" ref="AH134" si="493">AH120/AC120-1</f>
        <v>6.7846956680738257E-2</v>
      </c>
      <c r="AI134" s="235">
        <f t="shared" ref="AI134" si="494">AI120/AD120-1</f>
        <v>6.3860774043866364E-2</v>
      </c>
      <c r="AJ134" s="235">
        <f t="shared" ref="AJ134" si="495">AJ120/AE120-1</f>
        <v>6.1182618490457807E-2</v>
      </c>
      <c r="AK134" s="309">
        <f t="shared" ref="AK134" si="496">AK120/AF120-1</f>
        <v>6.8200750835236024E-2</v>
      </c>
      <c r="AL134" s="309">
        <f t="shared" ref="AL134:AN134" si="497">AL120/AK120-1</f>
        <v>2.914148954564344E-2</v>
      </c>
      <c r="AM134" s="309">
        <f t="shared" si="497"/>
        <v>3.1147941100265752E-2</v>
      </c>
      <c r="AN134" s="309">
        <f t="shared" si="497"/>
        <v>3.3227758932179219E-2</v>
      </c>
    </row>
    <row r="135" spans="1:40" ht="15" customHeight="1" thickTop="1" x14ac:dyDescent="0.2">
      <c r="G135" s="156"/>
      <c r="H135" s="155"/>
      <c r="I135" s="155"/>
      <c r="J135" s="155"/>
      <c r="K135" s="155"/>
      <c r="L135" s="156"/>
      <c r="M135" s="155"/>
      <c r="N135" s="155"/>
      <c r="O135" s="155"/>
      <c r="P135" s="155"/>
      <c r="Q135" s="156"/>
      <c r="R135" s="155"/>
      <c r="S135" s="155"/>
      <c r="T135" s="155"/>
      <c r="U135" s="155"/>
      <c r="V135" s="156"/>
      <c r="W135" s="155"/>
      <c r="X135" s="155"/>
      <c r="Y135" s="155"/>
      <c r="Z135" s="155"/>
      <c r="AA135" s="206"/>
      <c r="AB135" s="155"/>
      <c r="AC135" s="155"/>
      <c r="AD135" s="155"/>
      <c r="AE135" s="155"/>
      <c r="AF135" s="156"/>
      <c r="AG135" s="155"/>
      <c r="AH135" s="155"/>
      <c r="AI135" s="155"/>
      <c r="AJ135" s="155"/>
      <c r="AK135" s="156"/>
      <c r="AL135" s="156"/>
      <c r="AM135" s="156"/>
      <c r="AN135" s="156"/>
    </row>
    <row r="136" spans="1:40" ht="15" customHeight="1" x14ac:dyDescent="0.2">
      <c r="G136" s="156"/>
      <c r="H136" s="155"/>
      <c r="I136" s="155"/>
      <c r="J136" s="155"/>
      <c r="K136" s="155"/>
      <c r="L136" s="156"/>
      <c r="M136" s="155"/>
      <c r="N136" s="155"/>
      <c r="O136" s="155"/>
      <c r="P136" s="155"/>
      <c r="Q136" s="156"/>
      <c r="R136" s="155"/>
      <c r="S136" s="155"/>
      <c r="T136" s="155"/>
      <c r="U136" s="155"/>
      <c r="V136" s="156"/>
      <c r="W136" s="155"/>
      <c r="X136" s="155"/>
      <c r="Y136" s="155"/>
      <c r="Z136" s="155"/>
      <c r="AA136" s="206"/>
      <c r="AB136" s="155"/>
      <c r="AC136" s="155"/>
      <c r="AD136" s="155"/>
      <c r="AE136" s="155"/>
      <c r="AF136" s="156"/>
      <c r="AG136" s="155"/>
      <c r="AH136" s="155"/>
      <c r="AI136" s="155"/>
      <c r="AJ136" s="155"/>
      <c r="AK136" s="156"/>
      <c r="AL136" s="156"/>
      <c r="AM136" s="156"/>
      <c r="AN136" s="156"/>
    </row>
    <row r="137" spans="1:40" ht="15" customHeight="1" x14ac:dyDescent="0.2">
      <c r="A137" s="119" t="s">
        <v>394</v>
      </c>
      <c r="B137" s="119"/>
      <c r="C137" s="119"/>
      <c r="D137" s="119"/>
      <c r="E137" s="119"/>
      <c r="F137" s="119"/>
      <c r="G137" s="123"/>
      <c r="H137" s="119"/>
      <c r="I137" s="119"/>
      <c r="J137" s="119"/>
      <c r="K137" s="119"/>
      <c r="L137" s="123"/>
      <c r="M137" s="119"/>
      <c r="N137" s="119"/>
      <c r="O137" s="119"/>
      <c r="P137" s="119"/>
      <c r="Q137" s="123"/>
      <c r="R137" s="119"/>
      <c r="S137" s="119"/>
      <c r="T137" s="119"/>
      <c r="U137" s="119"/>
      <c r="V137" s="123"/>
      <c r="W137" s="119"/>
      <c r="X137" s="119"/>
      <c r="Y137" s="119"/>
      <c r="Z137" s="119"/>
      <c r="AA137" s="123"/>
      <c r="AB137" s="119"/>
      <c r="AC137" s="119"/>
      <c r="AD137" s="119"/>
      <c r="AE137" s="119"/>
      <c r="AF137" s="123"/>
      <c r="AG137" s="119"/>
      <c r="AH137" s="119"/>
      <c r="AI137" s="119"/>
      <c r="AJ137" s="119"/>
      <c r="AK137" s="123"/>
      <c r="AL137" s="123"/>
      <c r="AM137" s="123"/>
      <c r="AN137" s="123"/>
    </row>
    <row r="138" spans="1:40" ht="15" customHeight="1" x14ac:dyDescent="0.2">
      <c r="A138" s="121" t="s">
        <v>146</v>
      </c>
      <c r="C138" s="121">
        <v>72.853999999999999</v>
      </c>
      <c r="D138" s="155">
        <v>101.72199999999999</v>
      </c>
      <c r="E138" s="155">
        <v>103.238</v>
      </c>
      <c r="F138" s="155">
        <f>389.126-SUM(C138:E138)</f>
        <v>111.31200000000001</v>
      </c>
      <c r="G138" s="156">
        <f>SUM(C138:F138)</f>
        <v>389.12599999999998</v>
      </c>
      <c r="H138" s="155">
        <v>92.911000000000001</v>
      </c>
      <c r="I138" s="155">
        <v>117.63800000000001</v>
      </c>
      <c r="J138" s="155">
        <v>41.095999999999997</v>
      </c>
      <c r="K138" s="155">
        <f>310.137-SUM(H138:J138)</f>
        <v>58.49199999999999</v>
      </c>
      <c r="L138" s="156">
        <f>SUM(H138:K138)</f>
        <v>310.137</v>
      </c>
      <c r="M138" s="155">
        <v>46.466000000000001</v>
      </c>
      <c r="N138" s="155">
        <v>69.007999999999996</v>
      </c>
      <c r="O138" s="155">
        <v>53.167000000000002</v>
      </c>
      <c r="P138" s="155">
        <f>234.356-SUM(M138:O138)</f>
        <v>65.715000000000003</v>
      </c>
      <c r="Q138" s="156">
        <f>SUM(M138:P138)</f>
        <v>234.35599999999999</v>
      </c>
      <c r="R138" s="155">
        <v>51.082999999999998</v>
      </c>
      <c r="S138" s="155">
        <v>59.808999999999997</v>
      </c>
      <c r="T138" s="155">
        <v>56.566000000000003</v>
      </c>
      <c r="U138" s="155">
        <f>230.933-SUM(R138:T138)</f>
        <v>63.474999999999994</v>
      </c>
      <c r="V138" s="156">
        <f>SUM(R138:U138)</f>
        <v>230.93299999999999</v>
      </c>
      <c r="W138" s="155">
        <v>55.433999999999997</v>
      </c>
      <c r="X138" s="155">
        <f>X113*X145</f>
        <v>64.285469336740405</v>
      </c>
      <c r="Y138" s="155">
        <f>Y113*Y145</f>
        <v>73.56622385468556</v>
      </c>
      <c r="Z138" s="155">
        <f>Z113*Z145</f>
        <v>81.583803876023552</v>
      </c>
      <c r="AA138" s="156">
        <f>SUM(W138:Z138)</f>
        <v>274.86949706744952</v>
      </c>
      <c r="AB138" s="155">
        <f>AB113*AB145</f>
        <v>87.149211974292825</v>
      </c>
      <c r="AC138" s="155">
        <f>AC113*AC145</f>
        <v>88.035487352209401</v>
      </c>
      <c r="AD138" s="155">
        <f>AD113*AD145</f>
        <v>97.167244964613317</v>
      </c>
      <c r="AE138" s="155">
        <f>AE113*AE145</f>
        <v>98.28822752580831</v>
      </c>
      <c r="AF138" s="156">
        <f>SUM(AB138:AE138)</f>
        <v>370.64017181692384</v>
      </c>
      <c r="AG138" s="155">
        <f>AG113*AG145</f>
        <v>101.45479356136269</v>
      </c>
      <c r="AH138" s="155">
        <f>AH113*AH145</f>
        <v>98.11561821080106</v>
      </c>
      <c r="AI138" s="155">
        <f>AI113*AI145</f>
        <v>106.04317961457548</v>
      </c>
      <c r="AJ138" s="155">
        <f>AJ113*AJ145</f>
        <v>106.86051310117035</v>
      </c>
      <c r="AK138" s="156">
        <f>SUM(AG138:AJ138)</f>
        <v>412.47410448790959</v>
      </c>
      <c r="AL138" s="156">
        <f>AL113*AL145</f>
        <v>429.36918812262383</v>
      </c>
      <c r="AM138" s="156">
        <f>AM113*AM145</f>
        <v>447.95378012080937</v>
      </c>
      <c r="AN138" s="156">
        <f>AN113*AN145</f>
        <v>468.39683131881361</v>
      </c>
    </row>
    <row r="139" spans="1:40" ht="15" customHeight="1" x14ac:dyDescent="0.2">
      <c r="A139" s="121" t="s">
        <v>161</v>
      </c>
      <c r="C139" s="121">
        <v>29.169</v>
      </c>
      <c r="D139" s="155">
        <v>27.128</v>
      </c>
      <c r="E139" s="155">
        <v>26.24</v>
      </c>
      <c r="F139" s="155">
        <f>93.521-SUM(C139:E139)</f>
        <v>10.984000000000009</v>
      </c>
      <c r="G139" s="156">
        <f t="shared" ref="G139:G142" si="498">SUM(C139:F139)</f>
        <v>93.521000000000001</v>
      </c>
      <c r="H139" s="155">
        <v>28.23</v>
      </c>
      <c r="I139" s="155">
        <v>25.972000000000001</v>
      </c>
      <c r="J139" s="155">
        <v>27.437999999999999</v>
      </c>
      <c r="K139" s="155">
        <f>100.321-SUM(H139:J139)</f>
        <v>18.680999999999997</v>
      </c>
      <c r="L139" s="156">
        <f t="shared" ref="L139:L142" si="499">SUM(H139:K139)</f>
        <v>100.321</v>
      </c>
      <c r="M139" s="155">
        <v>32.887999999999998</v>
      </c>
      <c r="N139" s="155">
        <v>27.870999999999999</v>
      </c>
      <c r="O139" s="155">
        <v>27.166</v>
      </c>
      <c r="P139" s="155">
        <f>108.672-SUM(M139:O139)</f>
        <v>20.747</v>
      </c>
      <c r="Q139" s="156">
        <f t="shared" ref="Q139:Q142" si="500">SUM(M139:P139)</f>
        <v>108.672</v>
      </c>
      <c r="R139" s="155">
        <v>23.693000000000001</v>
      </c>
      <c r="S139" s="155">
        <v>17.234000000000002</v>
      </c>
      <c r="T139" s="155">
        <v>21.102</v>
      </c>
      <c r="U139" s="155">
        <f>82.788-SUM(R139:T139)</f>
        <v>20.758999999999986</v>
      </c>
      <c r="V139" s="156">
        <f t="shared" ref="V139:V142" si="501">SUM(R139:U139)</f>
        <v>82.787999999999997</v>
      </c>
      <c r="W139" s="155">
        <v>11.401999999999999</v>
      </c>
      <c r="X139" s="158">
        <f>X118*X148</f>
        <v>15.86068</v>
      </c>
      <c r="Y139" s="158">
        <f>Y118*Y148</f>
        <v>20.31936</v>
      </c>
      <c r="Z139" s="158">
        <f>Z118*Z148</f>
        <v>24.778040000000001</v>
      </c>
      <c r="AA139" s="156">
        <f t="shared" ref="AA139:AA142" si="502">SUM(W139:Z139)</f>
        <v>72.360079999999996</v>
      </c>
      <c r="AB139" s="158">
        <f>AB118*AB148</f>
        <v>24.778040000000001</v>
      </c>
      <c r="AC139" s="158">
        <f>AC118*AC148</f>
        <v>24.778040000000001</v>
      </c>
      <c r="AD139" s="158">
        <f>AD118*AD148</f>
        <v>24.778040000000001</v>
      </c>
      <c r="AE139" s="158">
        <f>AE118*AE148</f>
        <v>24.778040000000001</v>
      </c>
      <c r="AF139" s="156">
        <f t="shared" ref="AF139:AF142" si="503">SUM(AB139:AE139)</f>
        <v>99.112160000000003</v>
      </c>
      <c r="AG139" s="158">
        <f>AG118*AG148</f>
        <v>24.778040000000001</v>
      </c>
      <c r="AH139" s="158">
        <f>AH118*AH148</f>
        <v>24.778040000000001</v>
      </c>
      <c r="AI139" s="158">
        <f>AI118*AI148</f>
        <v>24.778040000000001</v>
      </c>
      <c r="AJ139" s="158">
        <f>AJ118*AJ148</f>
        <v>24.778040000000001</v>
      </c>
      <c r="AK139" s="156">
        <f t="shared" ref="AK139:AK142" si="504">SUM(AG139:AJ139)</f>
        <v>99.112160000000003</v>
      </c>
      <c r="AL139" s="156">
        <f>AL118*AL148</f>
        <v>99.112160000000003</v>
      </c>
      <c r="AM139" s="156">
        <f>AM118*AM148</f>
        <v>99.112160000000003</v>
      </c>
      <c r="AN139" s="156">
        <f>AN118*AN148</f>
        <v>99.112160000000003</v>
      </c>
    </row>
    <row r="140" spans="1:40" ht="15" customHeight="1" x14ac:dyDescent="0.2">
      <c r="A140" s="121" t="s">
        <v>162</v>
      </c>
      <c r="C140" s="121">
        <v>-29.001000000000001</v>
      </c>
      <c r="D140" s="155">
        <v>-27.495999999999999</v>
      </c>
      <c r="E140" s="155">
        <v>-26.713999999999999</v>
      </c>
      <c r="F140" s="155">
        <f>-119.447-SUM(C140:E140)</f>
        <v>-36.236000000000004</v>
      </c>
      <c r="G140" s="156">
        <f t="shared" si="498"/>
        <v>-119.447</v>
      </c>
      <c r="H140" s="155">
        <v>-51.070999999999998</v>
      </c>
      <c r="I140" s="155">
        <v>-28.131</v>
      </c>
      <c r="J140" s="155">
        <v>-15.157999999999999</v>
      </c>
      <c r="K140" s="155">
        <f>-94.53-SUM(H140:J140)</f>
        <v>-0.17000000000000171</v>
      </c>
      <c r="L140" s="156">
        <f t="shared" si="499"/>
        <v>-94.53</v>
      </c>
      <c r="M140" s="155">
        <v>-23.359000000000002</v>
      </c>
      <c r="N140" s="155">
        <v>-10.426</v>
      </c>
      <c r="O140" s="155">
        <v>-13.545999999999999</v>
      </c>
      <c r="P140" s="155">
        <f>-64.442-SUM(M140:O140)</f>
        <v>-17.11099999999999</v>
      </c>
      <c r="Q140" s="156">
        <f t="shared" si="500"/>
        <v>-64.441999999999993</v>
      </c>
      <c r="R140" s="155">
        <v>-29.364999999999998</v>
      </c>
      <c r="S140" s="155">
        <v>-15.25</v>
      </c>
      <c r="T140" s="155">
        <v>-19.201000000000001</v>
      </c>
      <c r="U140" s="155">
        <f>-81.092-SUM(R140:T140)</f>
        <v>-17.276000000000003</v>
      </c>
      <c r="V140" s="156">
        <f t="shared" si="501"/>
        <v>-81.091999999999999</v>
      </c>
      <c r="W140" s="155">
        <v>-24.311</v>
      </c>
      <c r="X140" s="155">
        <f>X153*X120</f>
        <v>-25.592529289009065</v>
      </c>
      <c r="Y140" s="155">
        <f>Y153*Y120</f>
        <v>-26.819340367394954</v>
      </c>
      <c r="Z140" s="155">
        <f>Z153*Z120</f>
        <v>-27.610060241339983</v>
      </c>
      <c r="AA140" s="156">
        <f t="shared" si="502"/>
        <v>-104.33292989774399</v>
      </c>
      <c r="AB140" s="155">
        <f>AB153*AB120</f>
        <v>-27.777880697106376</v>
      </c>
      <c r="AC140" s="155">
        <f>AC153*AC120</f>
        <v>-27.452349585223292</v>
      </c>
      <c r="AD140" s="155">
        <f>AD153*AD120</f>
        <v>-29.11623689310585</v>
      </c>
      <c r="AE140" s="155">
        <f>AE153*AE120</f>
        <v>-29.35106722010033</v>
      </c>
      <c r="AF140" s="156">
        <f t="shared" si="503"/>
        <v>-113.69753439553585</v>
      </c>
      <c r="AG140" s="155">
        <f>AG153*AG120</f>
        <v>-30.014418964650368</v>
      </c>
      <c r="AH140" s="155">
        <f>AH153*AH120</f>
        <v>-29.314907958316425</v>
      </c>
      <c r="AI140" s="155">
        <f>AI153*AI120</f>
        <v>-30.975622318344165</v>
      </c>
      <c r="AJ140" s="155">
        <f>AJ153*AJ120</f>
        <v>-31.146842368115511</v>
      </c>
      <c r="AK140" s="156">
        <f t="shared" si="504"/>
        <v>-121.45179160942648</v>
      </c>
      <c r="AL140" s="156">
        <f>AL153*AL120</f>
        <v>-124.99107772491226</v>
      </c>
      <c r="AM140" s="156">
        <f>AM153*AM120</f>
        <v>-128.88429245194658</v>
      </c>
      <c r="AN140" s="156">
        <f>AN153*AN120</f>
        <v>-133.16682865168434</v>
      </c>
    </row>
    <row r="141" spans="1:40" ht="15" customHeight="1" x14ac:dyDescent="0.2">
      <c r="A141" s="12" t="s">
        <v>360</v>
      </c>
      <c r="B141" s="12"/>
      <c r="C141" s="34">
        <f>SUM(C138:C140)</f>
        <v>73.021999999999991</v>
      </c>
      <c r="D141" s="34">
        <f>SUM(D138:D140)</f>
        <v>101.354</v>
      </c>
      <c r="E141" s="34">
        <f>SUM(E138:E140)</f>
        <v>102.76400000000001</v>
      </c>
      <c r="F141" s="34">
        <f>SUM(F138:F140)</f>
        <v>86.060000000000016</v>
      </c>
      <c r="G141" s="143">
        <f t="shared" ref="G141:AN141" si="505">SUM(G138:G140)</f>
        <v>363.2</v>
      </c>
      <c r="H141" s="34">
        <f>SUM(H138:H140)</f>
        <v>70.070000000000007</v>
      </c>
      <c r="I141" s="34">
        <f t="shared" si="505"/>
        <v>115.47900000000001</v>
      </c>
      <c r="J141" s="34">
        <f t="shared" si="505"/>
        <v>53.375999999999991</v>
      </c>
      <c r="K141" s="34">
        <f t="shared" si="505"/>
        <v>77.002999999999986</v>
      </c>
      <c r="L141" s="143">
        <f t="shared" si="505"/>
        <v>315.928</v>
      </c>
      <c r="M141" s="34">
        <f t="shared" si="505"/>
        <v>55.994999999999997</v>
      </c>
      <c r="N141" s="34">
        <f t="shared" si="505"/>
        <v>86.452999999999989</v>
      </c>
      <c r="O141" s="34">
        <f t="shared" si="505"/>
        <v>66.787000000000006</v>
      </c>
      <c r="P141" s="34">
        <f t="shared" si="505"/>
        <v>69.351000000000013</v>
      </c>
      <c r="Q141" s="143">
        <f t="shared" si="505"/>
        <v>278.58600000000001</v>
      </c>
      <c r="R141" s="34">
        <f t="shared" si="505"/>
        <v>45.411000000000001</v>
      </c>
      <c r="S141" s="34">
        <f t="shared" si="505"/>
        <v>61.793000000000006</v>
      </c>
      <c r="T141" s="34">
        <f t="shared" si="505"/>
        <v>58.467000000000006</v>
      </c>
      <c r="U141" s="34">
        <f t="shared" si="505"/>
        <v>66.95799999999997</v>
      </c>
      <c r="V141" s="143">
        <f t="shared" si="505"/>
        <v>232.62900000000002</v>
      </c>
      <c r="W141" s="34">
        <f t="shared" si="505"/>
        <v>42.524999999999999</v>
      </c>
      <c r="X141" s="34">
        <f t="shared" si="505"/>
        <v>54.553620047731343</v>
      </c>
      <c r="Y141" s="34">
        <f t="shared" si="505"/>
        <v>67.066243487290606</v>
      </c>
      <c r="Z141" s="34">
        <f t="shared" si="505"/>
        <v>78.751783634683576</v>
      </c>
      <c r="AA141" s="143">
        <f t="shared" si="505"/>
        <v>242.89664716970549</v>
      </c>
      <c r="AB141" s="34">
        <f t="shared" si="505"/>
        <v>84.149371277186447</v>
      </c>
      <c r="AC141" s="34">
        <f t="shared" si="505"/>
        <v>85.361177766986117</v>
      </c>
      <c r="AD141" s="34">
        <f t="shared" si="505"/>
        <v>92.829048071507472</v>
      </c>
      <c r="AE141" s="34">
        <f t="shared" si="505"/>
        <v>93.715200305707981</v>
      </c>
      <c r="AF141" s="143">
        <f t="shared" si="505"/>
        <v>356.054797421388</v>
      </c>
      <c r="AG141" s="34">
        <f t="shared" si="505"/>
        <v>96.218414596712336</v>
      </c>
      <c r="AH141" s="34">
        <f t="shared" si="505"/>
        <v>93.578750252484639</v>
      </c>
      <c r="AI141" s="34">
        <f t="shared" si="505"/>
        <v>99.845597296231318</v>
      </c>
      <c r="AJ141" s="34">
        <f t="shared" si="505"/>
        <v>100.49171073305483</v>
      </c>
      <c r="AK141" s="143">
        <f t="shared" si="505"/>
        <v>390.13447287848311</v>
      </c>
      <c r="AL141" s="143">
        <f t="shared" si="505"/>
        <v>403.49027039771153</v>
      </c>
      <c r="AM141" s="143">
        <f t="shared" si="505"/>
        <v>418.18164766886281</v>
      </c>
      <c r="AN141" s="143">
        <f t="shared" si="505"/>
        <v>434.34216266712929</v>
      </c>
    </row>
    <row r="142" spans="1:40" ht="15" customHeight="1" x14ac:dyDescent="0.2">
      <c r="A142" s="121" t="s">
        <v>1</v>
      </c>
      <c r="C142" s="121">
        <v>-11.507</v>
      </c>
      <c r="D142" s="155">
        <v>-11.186</v>
      </c>
      <c r="E142" s="155">
        <v>-10.45</v>
      </c>
      <c r="F142" s="155">
        <f>-61.01-SUM(C142:E142)</f>
        <v>-27.866999999999997</v>
      </c>
      <c r="G142" s="156">
        <f t="shared" si="498"/>
        <v>-61.01</v>
      </c>
      <c r="H142" s="155">
        <v>-8.5220000000000002</v>
      </c>
      <c r="I142" s="155">
        <v>-8.2799999999999994</v>
      </c>
      <c r="J142" s="155">
        <v>-8.36</v>
      </c>
      <c r="K142" s="155">
        <f>-34.047-SUM(H142:J142)</f>
        <v>-8.884999999999998</v>
      </c>
      <c r="L142" s="156">
        <f t="shared" si="499"/>
        <v>-34.046999999999997</v>
      </c>
      <c r="M142" s="155">
        <v>-8.4109999999999996</v>
      </c>
      <c r="N142" s="155">
        <v>-7.9660000000000002</v>
      </c>
      <c r="O142" s="155">
        <v>-8.0890000000000004</v>
      </c>
      <c r="P142" s="155">
        <f>-32.787-SUM(M142:O142)</f>
        <v>-8.320999999999998</v>
      </c>
      <c r="Q142" s="156">
        <f t="shared" si="500"/>
        <v>-32.786999999999999</v>
      </c>
      <c r="R142" s="155">
        <v>-7.665</v>
      </c>
      <c r="S142" s="155">
        <v>-7.6970000000000001</v>
      </c>
      <c r="T142" s="155">
        <v>-8.18</v>
      </c>
      <c r="U142" s="155">
        <f>-32.731-SUM(R142:T142)</f>
        <v>-9.1890000000000001</v>
      </c>
      <c r="V142" s="156">
        <f t="shared" si="501"/>
        <v>-32.731000000000002</v>
      </c>
      <c r="W142" s="155">
        <v>-10.776</v>
      </c>
      <c r="X142" s="158">
        <f>W142</f>
        <v>-10.776</v>
      </c>
      <c r="Y142" s="158">
        <f t="shared" ref="Y142:AJ142" si="506">X142</f>
        <v>-10.776</v>
      </c>
      <c r="Z142" s="158">
        <f t="shared" si="506"/>
        <v>-10.776</v>
      </c>
      <c r="AA142" s="156">
        <f t="shared" si="502"/>
        <v>-43.103999999999999</v>
      </c>
      <c r="AB142" s="158">
        <f>Z142</f>
        <v>-10.776</v>
      </c>
      <c r="AC142" s="158">
        <f t="shared" si="506"/>
        <v>-10.776</v>
      </c>
      <c r="AD142" s="158">
        <f t="shared" si="506"/>
        <v>-10.776</v>
      </c>
      <c r="AE142" s="158">
        <f t="shared" si="506"/>
        <v>-10.776</v>
      </c>
      <c r="AF142" s="156">
        <f t="shared" si="503"/>
        <v>-43.103999999999999</v>
      </c>
      <c r="AG142" s="158">
        <f>AE142</f>
        <v>-10.776</v>
      </c>
      <c r="AH142" s="158">
        <f t="shared" si="506"/>
        <v>-10.776</v>
      </c>
      <c r="AI142" s="158">
        <f t="shared" si="506"/>
        <v>-10.776</v>
      </c>
      <c r="AJ142" s="158">
        <f t="shared" si="506"/>
        <v>-10.776</v>
      </c>
      <c r="AK142" s="156">
        <f t="shared" si="504"/>
        <v>-43.103999999999999</v>
      </c>
      <c r="AL142" s="156">
        <f>AK142</f>
        <v>-43.103999999999999</v>
      </c>
      <c r="AM142" s="156">
        <f t="shared" ref="AM142:AN142" si="507">AL142</f>
        <v>-43.103999999999999</v>
      </c>
      <c r="AN142" s="156">
        <f t="shared" si="507"/>
        <v>-43.103999999999999</v>
      </c>
    </row>
    <row r="143" spans="1:40" ht="15" customHeight="1" x14ac:dyDescent="0.2">
      <c r="A143" s="12" t="s">
        <v>404</v>
      </c>
      <c r="B143" s="12"/>
      <c r="C143" s="34">
        <f>SUM(C141:C142)</f>
        <v>61.514999999999993</v>
      </c>
      <c r="D143" s="34">
        <f>SUM(D141:D142)</f>
        <v>90.168000000000006</v>
      </c>
      <c r="E143" s="34">
        <f>SUM(E141:E142)</f>
        <v>92.314000000000007</v>
      </c>
      <c r="F143" s="34">
        <f>SUM(F141:F142)</f>
        <v>58.193000000000019</v>
      </c>
      <c r="G143" s="143">
        <f t="shared" ref="G143:AN143" si="508">SUM(G141:G142)</f>
        <v>302.19</v>
      </c>
      <c r="H143" s="34">
        <f>SUM(H141:H142)</f>
        <v>61.548000000000009</v>
      </c>
      <c r="I143" s="34">
        <f t="shared" si="508"/>
        <v>107.19900000000001</v>
      </c>
      <c r="J143" s="34">
        <f t="shared" si="508"/>
        <v>45.015999999999991</v>
      </c>
      <c r="K143" s="34">
        <f t="shared" si="508"/>
        <v>68.117999999999995</v>
      </c>
      <c r="L143" s="143">
        <f t="shared" si="508"/>
        <v>281.88099999999997</v>
      </c>
      <c r="M143" s="34">
        <f t="shared" si="508"/>
        <v>47.583999999999996</v>
      </c>
      <c r="N143" s="34">
        <f t="shared" si="508"/>
        <v>78.486999999999995</v>
      </c>
      <c r="O143" s="34">
        <f t="shared" si="508"/>
        <v>58.698000000000008</v>
      </c>
      <c r="P143" s="34">
        <f t="shared" si="508"/>
        <v>61.030000000000015</v>
      </c>
      <c r="Q143" s="143">
        <f t="shared" si="508"/>
        <v>245.79900000000001</v>
      </c>
      <c r="R143" s="34">
        <f t="shared" si="508"/>
        <v>37.746000000000002</v>
      </c>
      <c r="S143" s="34">
        <f t="shared" si="508"/>
        <v>54.096000000000004</v>
      </c>
      <c r="T143" s="34">
        <f t="shared" si="508"/>
        <v>50.287000000000006</v>
      </c>
      <c r="U143" s="34">
        <f t="shared" si="508"/>
        <v>57.76899999999997</v>
      </c>
      <c r="V143" s="143">
        <f t="shared" si="508"/>
        <v>199.89800000000002</v>
      </c>
      <c r="W143" s="34">
        <f t="shared" si="508"/>
        <v>31.748999999999999</v>
      </c>
      <c r="X143" s="34">
        <f t="shared" si="508"/>
        <v>43.777620047731347</v>
      </c>
      <c r="Y143" s="34">
        <f t="shared" si="508"/>
        <v>56.29024348729061</v>
      </c>
      <c r="Z143" s="34">
        <f t="shared" si="508"/>
        <v>67.97578363468358</v>
      </c>
      <c r="AA143" s="143">
        <f t="shared" si="508"/>
        <v>199.7926471697055</v>
      </c>
      <c r="AB143" s="34">
        <f t="shared" si="508"/>
        <v>73.37337127718645</v>
      </c>
      <c r="AC143" s="34">
        <f t="shared" si="508"/>
        <v>74.585177766986121</v>
      </c>
      <c r="AD143" s="34">
        <f t="shared" si="508"/>
        <v>82.053048071507476</v>
      </c>
      <c r="AE143" s="34">
        <f t="shared" si="508"/>
        <v>82.939200305707985</v>
      </c>
      <c r="AF143" s="143">
        <f t="shared" si="508"/>
        <v>312.95079742138802</v>
      </c>
      <c r="AG143" s="34">
        <f t="shared" si="508"/>
        <v>85.442414596712339</v>
      </c>
      <c r="AH143" s="34">
        <f t="shared" si="508"/>
        <v>82.802750252484643</v>
      </c>
      <c r="AI143" s="34">
        <f t="shared" si="508"/>
        <v>89.069597296231322</v>
      </c>
      <c r="AJ143" s="34">
        <f t="shared" si="508"/>
        <v>89.715710733054834</v>
      </c>
      <c r="AK143" s="143">
        <f t="shared" si="508"/>
        <v>347.03047287848312</v>
      </c>
      <c r="AL143" s="143">
        <f t="shared" si="508"/>
        <v>360.38627039771154</v>
      </c>
      <c r="AM143" s="143">
        <f t="shared" si="508"/>
        <v>375.07764766886282</v>
      </c>
      <c r="AN143" s="143">
        <f t="shared" si="508"/>
        <v>391.2381626671293</v>
      </c>
    </row>
    <row r="144" spans="1:40" ht="15" customHeight="1" x14ac:dyDescent="0.2">
      <c r="G144" s="156"/>
      <c r="H144" s="155"/>
      <c r="I144" s="155"/>
      <c r="J144" s="155"/>
      <c r="K144" s="155"/>
      <c r="L144" s="156"/>
      <c r="M144" s="155"/>
      <c r="N144" s="155"/>
      <c r="O144" s="155"/>
      <c r="P144" s="155"/>
      <c r="Q144" s="156"/>
      <c r="R144" s="155"/>
      <c r="S144" s="155"/>
      <c r="T144" s="155"/>
      <c r="U144" s="155"/>
      <c r="V144" s="156"/>
      <c r="W144" s="155"/>
      <c r="X144" s="155"/>
      <c r="Y144" s="155"/>
      <c r="Z144" s="155"/>
      <c r="AA144" s="156"/>
      <c r="AB144" s="155"/>
      <c r="AC144" s="155"/>
      <c r="AD144" s="155"/>
      <c r="AE144" s="155"/>
      <c r="AF144" s="156"/>
      <c r="AG144" s="155"/>
      <c r="AH144" s="155"/>
      <c r="AI144" s="155"/>
      <c r="AJ144" s="155"/>
      <c r="AK144" s="156"/>
      <c r="AL144" s="156"/>
      <c r="AM144" s="156"/>
      <c r="AN144" s="156"/>
    </row>
    <row r="145" spans="1:40" ht="15" customHeight="1" x14ac:dyDescent="0.2">
      <c r="A145" s="122" t="s">
        <v>163</v>
      </c>
      <c r="B145" s="22"/>
      <c r="C145" s="120">
        <f t="shared" ref="C145:F145" si="509">C138/C113</f>
        <v>0.18543245258814875</v>
      </c>
      <c r="D145" s="120">
        <f t="shared" si="509"/>
        <v>0.2106246143525056</v>
      </c>
      <c r="E145" s="120">
        <f t="shared" si="509"/>
        <v>0.20698310861610947</v>
      </c>
      <c r="F145" s="120">
        <f t="shared" si="509"/>
        <v>0.22002593377399662</v>
      </c>
      <c r="G145" s="145">
        <f>G138/G113</f>
        <v>0.2069246804075468</v>
      </c>
      <c r="H145" s="120">
        <f>H138/H113</f>
        <v>0.19604578783562801</v>
      </c>
      <c r="I145" s="120">
        <f>I138/I113</f>
        <v>0.24805792896363835</v>
      </c>
      <c r="J145" s="120">
        <f>J138/J113</f>
        <v>0.13408419088138754</v>
      </c>
      <c r="K145" s="120">
        <f>K138/K113</f>
        <v>0.17392390308883524</v>
      </c>
      <c r="L145" s="145">
        <f>L138/L113</f>
        <v>0.19493665157517806</v>
      </c>
      <c r="M145" s="120">
        <f>M138/M113</f>
        <v>0.14445373631737168</v>
      </c>
      <c r="N145" s="120">
        <f>N138/N113</f>
        <v>0.18921542283373455</v>
      </c>
      <c r="O145" s="120">
        <f>O138/O113</f>
        <v>0.15595520251560518</v>
      </c>
      <c r="P145" s="120">
        <f>P138/P113</f>
        <v>0.17438805621603262</v>
      </c>
      <c r="Q145" s="145">
        <f>Q138/Q113</f>
        <v>0.16690631906030623</v>
      </c>
      <c r="R145" s="270">
        <f>R138/R113</f>
        <v>0.15183616448942588</v>
      </c>
      <c r="S145" s="120">
        <f>S138/S113</f>
        <v>0.16045037383603794</v>
      </c>
      <c r="T145" s="120">
        <f>T138/T113</f>
        <v>0.14081232325646234</v>
      </c>
      <c r="U145" s="120">
        <f>U138/U113</f>
        <v>0.15541675440357672</v>
      </c>
      <c r="V145" s="145">
        <f>V138/V113</f>
        <v>0.1519974041052522</v>
      </c>
      <c r="W145" s="270">
        <f>W138/W113</f>
        <v>0.14009628871450774</v>
      </c>
      <c r="X145" s="120">
        <f>W145+X146/10000</f>
        <v>0.15009628871450775</v>
      </c>
      <c r="Y145" s="120">
        <f>X145+Y146/10000</f>
        <v>0.16009628871450776</v>
      </c>
      <c r="Z145" s="120">
        <f>Y145+Z146/10000</f>
        <v>0.17009628871450777</v>
      </c>
      <c r="AA145" s="145">
        <f>AA138/AA113</f>
        <v>0.15589378582378141</v>
      </c>
      <c r="AB145" s="120">
        <f>Z145+AB146/10000</f>
        <v>0.18009628871450778</v>
      </c>
      <c r="AC145" s="120">
        <f>AB145+AC146/10000</f>
        <v>0.18509628871450778</v>
      </c>
      <c r="AD145" s="120">
        <f>AC145+AD146/10000</f>
        <v>0.18759628871450779</v>
      </c>
      <c r="AE145" s="233">
        <f t="shared" ref="Y145:AJ153" si="510">AD145</f>
        <v>0.18759628871450779</v>
      </c>
      <c r="AF145" s="145">
        <f>AF138/AF113</f>
        <v>0.18518883221249832</v>
      </c>
      <c r="AG145" s="233">
        <f>AE145</f>
        <v>0.18759628871450779</v>
      </c>
      <c r="AH145" s="233">
        <f t="shared" si="510"/>
        <v>0.18759628871450779</v>
      </c>
      <c r="AI145" s="233">
        <f t="shared" si="510"/>
        <v>0.18759628871450779</v>
      </c>
      <c r="AJ145" s="233">
        <f t="shared" si="510"/>
        <v>0.18759628871450779</v>
      </c>
      <c r="AK145" s="145">
        <f>AK138/AK113</f>
        <v>0.18759628871450779</v>
      </c>
      <c r="AL145" s="145">
        <f>AK145</f>
        <v>0.18759628871450779</v>
      </c>
      <c r="AM145" s="145">
        <f t="shared" ref="AM145:AN145" si="511">AL145</f>
        <v>0.18759628871450779</v>
      </c>
      <c r="AN145" s="145">
        <f t="shared" si="511"/>
        <v>0.18759628871450779</v>
      </c>
    </row>
    <row r="146" spans="1:40" s="22" customFormat="1" ht="15" customHeight="1" x14ac:dyDescent="0.2">
      <c r="A146" s="122" t="s">
        <v>441</v>
      </c>
      <c r="G146" s="145"/>
      <c r="H146" s="120"/>
      <c r="I146" s="120"/>
      <c r="J146" s="120"/>
      <c r="K146" s="120"/>
      <c r="L146" s="145"/>
      <c r="M146" s="120"/>
      <c r="N146" s="120"/>
      <c r="O146" s="120"/>
      <c r="P146" s="120"/>
      <c r="Q146" s="145"/>
      <c r="R146" s="271"/>
      <c r="S146" s="271"/>
      <c r="T146" s="271"/>
      <c r="U146" s="271"/>
      <c r="V146" s="145"/>
      <c r="W146" s="271"/>
      <c r="X146" s="313">
        <f>Valuation!L68</f>
        <v>100</v>
      </c>
      <c r="Y146" s="313">
        <f>X146</f>
        <v>100</v>
      </c>
      <c r="Z146" s="313">
        <f>Y146</f>
        <v>100</v>
      </c>
      <c r="AA146" s="314">
        <f>(AA145-V145)*10000</f>
        <v>38.963817185292129</v>
      </c>
      <c r="AB146" s="313">
        <v>100</v>
      </c>
      <c r="AC146" s="313">
        <v>50</v>
      </c>
      <c r="AD146" s="313">
        <v>25</v>
      </c>
      <c r="AE146" s="120"/>
      <c r="AF146" s="314">
        <f>(AF145-AA145)*10000</f>
        <v>292.95046388716912</v>
      </c>
      <c r="AG146" s="120"/>
      <c r="AH146" s="120"/>
      <c r="AI146" s="120"/>
      <c r="AJ146" s="120"/>
      <c r="AK146" s="314">
        <f>(AK145-AF145)*10000</f>
        <v>24.074565020094639</v>
      </c>
      <c r="AL146" s="314">
        <f>(AL145-AK145)*10000</f>
        <v>0</v>
      </c>
      <c r="AM146" s="314">
        <f t="shared" ref="AM146:AN146" si="512">(AM145-AL145)*10000</f>
        <v>0</v>
      </c>
      <c r="AN146" s="314">
        <f t="shared" si="512"/>
        <v>0</v>
      </c>
    </row>
    <row r="147" spans="1:40" ht="15" customHeight="1" x14ac:dyDescent="0.2">
      <c r="A147" s="122"/>
      <c r="B147" s="22"/>
      <c r="C147" s="22"/>
      <c r="D147" s="22"/>
      <c r="E147" s="22"/>
      <c r="F147" s="22"/>
      <c r="G147" s="145"/>
      <c r="H147" s="120"/>
      <c r="I147" s="120"/>
      <c r="J147" s="120"/>
      <c r="K147" s="120"/>
      <c r="L147" s="145"/>
      <c r="M147" s="120"/>
      <c r="N147" s="120"/>
      <c r="O147" s="120"/>
      <c r="P147" s="120"/>
      <c r="Q147" s="145"/>
      <c r="R147" s="120"/>
      <c r="S147" s="120"/>
      <c r="T147" s="120"/>
      <c r="U147" s="120"/>
      <c r="V147" s="145"/>
      <c r="W147" s="120"/>
      <c r="X147" s="120"/>
      <c r="Y147" s="120"/>
      <c r="Z147" s="120"/>
      <c r="AA147" s="145"/>
      <c r="AB147" s="120"/>
      <c r="AC147" s="120"/>
      <c r="AD147" s="120"/>
      <c r="AE147" s="120"/>
      <c r="AF147" s="145"/>
      <c r="AG147" s="120"/>
      <c r="AH147" s="120"/>
      <c r="AI147" s="120"/>
      <c r="AJ147" s="120"/>
      <c r="AK147" s="145"/>
      <c r="AL147" s="145"/>
      <c r="AM147" s="145"/>
      <c r="AN147" s="145"/>
    </row>
    <row r="148" spans="1:40" ht="15" customHeight="1" x14ac:dyDescent="0.2">
      <c r="A148" s="122" t="s">
        <v>164</v>
      </c>
      <c r="B148" s="22"/>
      <c r="C148" s="120">
        <f t="shared" ref="C148:F148" si="513">C139/C118</f>
        <v>0.11222126467736725</v>
      </c>
      <c r="D148" s="120">
        <f t="shared" si="513"/>
        <v>9.8329044184276321E-2</v>
      </c>
      <c r="E148" s="120">
        <f t="shared" si="513"/>
        <v>0.10362121391620265</v>
      </c>
      <c r="F148" s="120">
        <f t="shared" si="513"/>
        <v>4.7625448222934318E-2</v>
      </c>
      <c r="G148" s="145">
        <f>G139/G118</f>
        <v>9.1716298396452997E-2</v>
      </c>
      <c r="H148" s="120">
        <f>H139/H118</f>
        <v>0.11455585764720204</v>
      </c>
      <c r="I148" s="120">
        <f>I139/I118</f>
        <v>0.10558410303109146</v>
      </c>
      <c r="J148" s="120">
        <f>J139/J118</f>
        <v>0.1262492407928883</v>
      </c>
      <c r="K148" s="120">
        <f>K139/K118</f>
        <v>9.5821621288906186E-2</v>
      </c>
      <c r="L148" s="145">
        <f>L139/L118</f>
        <v>0.11088844724561238</v>
      </c>
      <c r="M148" s="120">
        <f>M139/M118</f>
        <v>0.15229310217085276</v>
      </c>
      <c r="N148" s="120">
        <f>N139/N118</f>
        <v>0.12866606652355561</v>
      </c>
      <c r="O148" s="120">
        <f>O139/O118</f>
        <v>0.12590666611050086</v>
      </c>
      <c r="P148" s="120">
        <f>P139/P118</f>
        <v>0.10728339840215115</v>
      </c>
      <c r="Q148" s="145">
        <f>Q139/Q118</f>
        <v>0.12910783341154666</v>
      </c>
      <c r="R148" s="120">
        <f>R139/R118</f>
        <v>0.11549054111361876</v>
      </c>
      <c r="S148" s="120">
        <f>S139/S118</f>
        <v>8.0501863771825763E-2</v>
      </c>
      <c r="T148" s="120">
        <f>T139/T118</f>
        <v>9.9247483773868869E-2</v>
      </c>
      <c r="U148" s="120">
        <f>U139/U118</f>
        <v>8.9627183040821984E-2</v>
      </c>
      <c r="V148" s="231">
        <f>V139/V118</f>
        <v>9.5878480731190971E-2</v>
      </c>
      <c r="W148" s="288">
        <f>W139/W118</f>
        <v>5.1145181982111293E-2</v>
      </c>
      <c r="X148" s="120">
        <f>W148+X149/10000</f>
        <v>7.1145181982111297E-2</v>
      </c>
      <c r="Y148" s="120">
        <f>X148+Y149/10000</f>
        <v>9.1145181982111301E-2</v>
      </c>
      <c r="Z148" s="120">
        <f>Y148+Z149/10000</f>
        <v>0.1111451819821113</v>
      </c>
      <c r="AA148" s="145">
        <f>AA139/AA118</f>
        <v>8.1145181982111292E-2</v>
      </c>
      <c r="AB148" s="233">
        <f>Z148</f>
        <v>0.1111451819821113</v>
      </c>
      <c r="AC148" s="233">
        <f t="shared" si="510"/>
        <v>0.1111451819821113</v>
      </c>
      <c r="AD148" s="233">
        <f t="shared" si="510"/>
        <v>0.1111451819821113</v>
      </c>
      <c r="AE148" s="233">
        <f t="shared" si="510"/>
        <v>0.1111451819821113</v>
      </c>
      <c r="AF148" s="145">
        <f>AF139/AF118</f>
        <v>0.1111451819821113</v>
      </c>
      <c r="AG148" s="233">
        <f>AE148</f>
        <v>0.1111451819821113</v>
      </c>
      <c r="AH148" s="233">
        <f t="shared" si="510"/>
        <v>0.1111451819821113</v>
      </c>
      <c r="AI148" s="233">
        <f t="shared" si="510"/>
        <v>0.1111451819821113</v>
      </c>
      <c r="AJ148" s="233">
        <f t="shared" si="510"/>
        <v>0.1111451819821113</v>
      </c>
      <c r="AK148" s="145">
        <f>AK139/AK118</f>
        <v>0.1111451819821113</v>
      </c>
      <c r="AL148" s="145">
        <f>AK148</f>
        <v>0.1111451819821113</v>
      </c>
      <c r="AM148" s="145">
        <f t="shared" ref="AM148:AN148" si="514">AL148</f>
        <v>0.1111451819821113</v>
      </c>
      <c r="AN148" s="145">
        <f t="shared" si="514"/>
        <v>0.1111451819821113</v>
      </c>
    </row>
    <row r="149" spans="1:40" s="22" customFormat="1" ht="15" customHeight="1" x14ac:dyDescent="0.2">
      <c r="A149" s="122" t="s">
        <v>441</v>
      </c>
      <c r="G149" s="145"/>
      <c r="H149" s="120"/>
      <c r="I149" s="120"/>
      <c r="J149" s="120"/>
      <c r="K149" s="120"/>
      <c r="L149" s="145"/>
      <c r="M149" s="120"/>
      <c r="N149" s="120"/>
      <c r="O149" s="120"/>
      <c r="P149" s="120"/>
      <c r="Q149" s="145"/>
      <c r="R149" s="120"/>
      <c r="S149" s="120"/>
      <c r="T149" s="120"/>
      <c r="U149" s="120"/>
      <c r="V149" s="231"/>
      <c r="W149" s="120"/>
      <c r="X149" s="313">
        <f>Valuation!L71</f>
        <v>200</v>
      </c>
      <c r="Y149" s="313">
        <f>X149</f>
        <v>200</v>
      </c>
      <c r="Z149" s="313">
        <f>Y149</f>
        <v>200</v>
      </c>
      <c r="AA149" s="314">
        <f>(AA148-V148)*10000</f>
        <v>-147.3329874907968</v>
      </c>
      <c r="AB149" s="232"/>
      <c r="AC149" s="232"/>
      <c r="AD149" s="232"/>
      <c r="AE149" s="232"/>
      <c r="AF149" s="314">
        <f>(AF148-AA148)*10000</f>
        <v>300.00000000000011</v>
      </c>
      <c r="AG149" s="232"/>
      <c r="AH149" s="232"/>
      <c r="AI149" s="232"/>
      <c r="AJ149" s="232"/>
      <c r="AK149" s="314">
        <f>(AK148-AF148)*10000</f>
        <v>0</v>
      </c>
      <c r="AL149" s="314">
        <f>(AL148-AK148)*10000</f>
        <v>0</v>
      </c>
      <c r="AM149" s="314">
        <f t="shared" ref="AM149" si="515">(AM148-AL148)*10000</f>
        <v>0</v>
      </c>
      <c r="AN149" s="314">
        <f t="shared" ref="AN149" si="516">(AN148-AM148)*10000</f>
        <v>0</v>
      </c>
    </row>
    <row r="150" spans="1:40" ht="15" customHeight="1" x14ac:dyDescent="0.2">
      <c r="A150" s="122"/>
      <c r="B150" s="22"/>
      <c r="C150" s="22"/>
      <c r="D150" s="22"/>
      <c r="E150" s="22"/>
      <c r="F150" s="22"/>
      <c r="G150" s="145"/>
      <c r="H150" s="120"/>
      <c r="I150" s="120"/>
      <c r="J150" s="120"/>
      <c r="K150" s="120"/>
      <c r="L150" s="145"/>
      <c r="M150" s="120"/>
      <c r="N150" s="120"/>
      <c r="O150" s="120"/>
      <c r="P150" s="120"/>
      <c r="Q150" s="145"/>
      <c r="R150" s="120"/>
      <c r="S150" s="120"/>
      <c r="T150" s="120"/>
      <c r="U150" s="120"/>
      <c r="V150" s="231"/>
      <c r="W150" s="120"/>
      <c r="X150" s="232"/>
      <c r="Y150" s="232"/>
      <c r="Z150" s="232"/>
      <c r="AA150" s="145"/>
      <c r="AB150" s="232"/>
      <c r="AC150" s="232"/>
      <c r="AD150" s="232"/>
      <c r="AE150" s="232"/>
      <c r="AF150" s="145"/>
      <c r="AG150" s="232"/>
      <c r="AH150" s="232"/>
      <c r="AI150" s="232"/>
      <c r="AJ150" s="232"/>
      <c r="AK150" s="145"/>
      <c r="AL150" s="145"/>
      <c r="AM150" s="145"/>
      <c r="AN150" s="145"/>
    </row>
    <row r="151" spans="1:40" ht="15" customHeight="1" x14ac:dyDescent="0.2">
      <c r="A151" s="122" t="s">
        <v>602</v>
      </c>
      <c r="G151" s="206">
        <f>G141/G120</f>
        <v>0.12523287211179102</v>
      </c>
      <c r="H151" s="155"/>
      <c r="I151" s="155"/>
      <c r="J151" s="155"/>
      <c r="K151" s="155"/>
      <c r="L151" s="206">
        <f t="shared" ref="L151:AN151" si="517">L141/L120</f>
        <v>0.12659070828817168</v>
      </c>
      <c r="M151" s="36">
        <f t="shared" si="517"/>
        <v>0.10415368504461336</v>
      </c>
      <c r="N151" s="36">
        <f t="shared" si="517"/>
        <v>0.14871817808061291</v>
      </c>
      <c r="O151" s="36">
        <f t="shared" si="517"/>
        <v>0.11997485067588808</v>
      </c>
      <c r="P151" s="36">
        <f t="shared" si="517"/>
        <v>0.12162211929844255</v>
      </c>
      <c r="Q151" s="206">
        <f t="shared" si="517"/>
        <v>0.12404578793070899</v>
      </c>
      <c r="R151" s="36">
        <f t="shared" si="517"/>
        <v>8.3848179236538617E-2</v>
      </c>
      <c r="S151" s="36">
        <f t="shared" si="517"/>
        <v>0.1052980459717231</v>
      </c>
      <c r="T151" s="36">
        <f t="shared" si="517"/>
        <v>9.5171666134923796E-2</v>
      </c>
      <c r="U151" s="36">
        <f t="shared" si="517"/>
        <v>0.10461648071271321</v>
      </c>
      <c r="V151" s="206">
        <f t="shared" si="517"/>
        <v>9.7628830068952788E-2</v>
      </c>
      <c r="W151" s="36">
        <f t="shared" si="517"/>
        <v>6.8741826552369059E-2</v>
      </c>
      <c r="X151" s="36">
        <f t="shared" si="517"/>
        <v>8.3770273691963923E-2</v>
      </c>
      <c r="Y151" s="36">
        <f t="shared" si="517"/>
        <v>9.8273281495130829E-2</v>
      </c>
      <c r="Z151" s="36">
        <f t="shared" si="517"/>
        <v>0.11209148256175698</v>
      </c>
      <c r="AA151" s="206">
        <f t="shared" si="517"/>
        <v>9.1489237771068044E-2</v>
      </c>
      <c r="AB151" s="36">
        <f t="shared" si="517"/>
        <v>0.11905053073929396</v>
      </c>
      <c r="AC151" s="36">
        <f t="shared" si="517"/>
        <v>0.12219697264575245</v>
      </c>
      <c r="AD151" s="36">
        <f t="shared" si="517"/>
        <v>0.12529340776697956</v>
      </c>
      <c r="AE151" s="36">
        <f t="shared" si="517"/>
        <v>0.12547745728969487</v>
      </c>
      <c r="AF151" s="206">
        <f t="shared" si="517"/>
        <v>0.12306806256376347</v>
      </c>
      <c r="AG151" s="36">
        <f t="shared" si="517"/>
        <v>0.12598180458024957</v>
      </c>
      <c r="AH151" s="36">
        <f t="shared" si="517"/>
        <v>0.12544930933927204</v>
      </c>
      <c r="AI151" s="36">
        <f t="shared" si="517"/>
        <v>0.12667428093806946</v>
      </c>
      <c r="AJ151" s="36">
        <f t="shared" si="517"/>
        <v>0.12679314763853172</v>
      </c>
      <c r="AK151" s="206">
        <f t="shared" si="517"/>
        <v>0.12623796063259946</v>
      </c>
      <c r="AL151" s="206">
        <f t="shared" si="517"/>
        <v>0.12686260435420668</v>
      </c>
      <c r="AM151" s="206">
        <f t="shared" si="517"/>
        <v>0.12751008829061092</v>
      </c>
      <c r="AN151" s="206">
        <f t="shared" si="517"/>
        <v>0.1281785932585835</v>
      </c>
    </row>
    <row r="152" spans="1:40" ht="15" customHeight="1" x14ac:dyDescent="0.2">
      <c r="A152" s="122"/>
      <c r="G152" s="156"/>
      <c r="H152" s="155"/>
      <c r="I152" s="155"/>
      <c r="J152" s="155"/>
      <c r="K152" s="155"/>
      <c r="L152" s="156"/>
      <c r="M152" s="155"/>
      <c r="N152" s="155"/>
      <c r="O152" s="155"/>
      <c r="P152" s="155"/>
      <c r="Q152" s="156"/>
      <c r="R152" s="155"/>
      <c r="S152" s="155"/>
      <c r="T152" s="155"/>
      <c r="U152" s="155"/>
      <c r="V152" s="156"/>
      <c r="W152" s="155"/>
      <c r="X152" s="155"/>
      <c r="Y152" s="155"/>
      <c r="Z152" s="155"/>
      <c r="AA152" s="156"/>
      <c r="AB152" s="155"/>
      <c r="AC152" s="155"/>
      <c r="AD152" s="155"/>
      <c r="AE152" s="155"/>
      <c r="AF152" s="156"/>
      <c r="AG152" s="155"/>
      <c r="AH152" s="155"/>
      <c r="AI152" s="155"/>
      <c r="AJ152" s="155"/>
      <c r="AK152" s="156"/>
      <c r="AL152" s="156"/>
      <c r="AM152" s="156"/>
      <c r="AN152" s="156"/>
    </row>
    <row r="153" spans="1:40" ht="15" customHeight="1" x14ac:dyDescent="0.2">
      <c r="A153" s="122" t="s">
        <v>169</v>
      </c>
      <c r="B153" s="22"/>
      <c r="C153" s="120">
        <f t="shared" ref="C153:F153" si="518">C142/C120</f>
        <v>-1.762684758682069E-2</v>
      </c>
      <c r="D153" s="120">
        <f t="shared" si="518"/>
        <v>-1.474084265013626E-2</v>
      </c>
      <c r="E153" s="120">
        <f t="shared" si="518"/>
        <v>-1.3896184200902918E-2</v>
      </c>
      <c r="F153" s="120">
        <f t="shared" si="518"/>
        <v>-3.7835166461426914E-2</v>
      </c>
      <c r="G153" s="145">
        <f>G140/G120</f>
        <v>-4.1185822894099951E-2</v>
      </c>
      <c r="H153" s="120">
        <f>H142/H120</f>
        <v>-1.1830278126756947E-2</v>
      </c>
      <c r="I153" s="120">
        <f>I140/I120</f>
        <v>-3.9058898669850878E-2</v>
      </c>
      <c r="J153" s="120">
        <f>J140/J120</f>
        <v>-2.8937089796993654E-2</v>
      </c>
      <c r="K153" s="120">
        <f>K140/K120</f>
        <v>-3.1999156728105372E-4</v>
      </c>
      <c r="L153" s="145">
        <f>L140/L120</f>
        <v>-3.7877679896941296E-2</v>
      </c>
      <c r="M153" s="120">
        <f>M140/M120</f>
        <v>-4.3448985247917203E-2</v>
      </c>
      <c r="N153" s="120">
        <f>N140/N120</f>
        <v>-1.7935013529530155E-2</v>
      </c>
      <c r="O153" s="120">
        <f>O140/O120</f>
        <v>-2.4333767458570976E-2</v>
      </c>
      <c r="P153" s="120">
        <f>P140/P120</f>
        <v>-3.0007874195262487E-2</v>
      </c>
      <c r="Q153" s="145">
        <f>Q140/Q120</f>
        <v>-2.8694043009450394E-2</v>
      </c>
      <c r="R153" s="120">
        <f>R140/R120</f>
        <v>-5.4220382358480458E-2</v>
      </c>
      <c r="S153" s="120">
        <f>S140/S120</f>
        <v>-2.5986684593218925E-2</v>
      </c>
      <c r="T153" s="120">
        <f>T140/T120</f>
        <v>-3.1255086826015903E-2</v>
      </c>
      <c r="U153" s="120">
        <f>U140/U120</f>
        <v>-2.6992358206529982E-2</v>
      </c>
      <c r="V153" s="145">
        <f>V140/V120</f>
        <v>-3.4032373813890439E-2</v>
      </c>
      <c r="W153" s="120">
        <f>W140/W120</f>
        <v>-3.9298825286646542E-2</v>
      </c>
      <c r="X153" s="233">
        <f>W153</f>
        <v>-3.9298825286646542E-2</v>
      </c>
      <c r="Y153" s="233">
        <f t="shared" si="510"/>
        <v>-3.9298825286646542E-2</v>
      </c>
      <c r="Z153" s="233">
        <f t="shared" si="510"/>
        <v>-3.9298825286646542E-2</v>
      </c>
      <c r="AA153" s="145">
        <f>AA140/AA120</f>
        <v>-3.9297949732907581E-2</v>
      </c>
      <c r="AB153" s="233">
        <f>Z153</f>
        <v>-3.9298825286646542E-2</v>
      </c>
      <c r="AC153" s="233">
        <f t="shared" si="510"/>
        <v>-3.9298825286646542E-2</v>
      </c>
      <c r="AD153" s="233">
        <f t="shared" si="510"/>
        <v>-3.9298825286646542E-2</v>
      </c>
      <c r="AE153" s="233">
        <f t="shared" si="510"/>
        <v>-3.9298825286646542E-2</v>
      </c>
      <c r="AF153" s="145">
        <f>AF140/AF120</f>
        <v>-3.9298825286646542E-2</v>
      </c>
      <c r="AG153" s="233">
        <f>AE153</f>
        <v>-3.9298825286646542E-2</v>
      </c>
      <c r="AH153" s="233">
        <f t="shared" si="510"/>
        <v>-3.9298825286646542E-2</v>
      </c>
      <c r="AI153" s="233">
        <f t="shared" si="510"/>
        <v>-3.9298825286646542E-2</v>
      </c>
      <c r="AJ153" s="233">
        <f t="shared" si="510"/>
        <v>-3.9298825286646542E-2</v>
      </c>
      <c r="AK153" s="145">
        <f>AK140/AK120</f>
        <v>-3.9298825286646549E-2</v>
      </c>
      <c r="AL153" s="145">
        <f>AK153</f>
        <v>-3.9298825286646549E-2</v>
      </c>
      <c r="AM153" s="145">
        <f t="shared" ref="AM153:AN153" si="519">AL153</f>
        <v>-3.9298825286646549E-2</v>
      </c>
      <c r="AN153" s="145">
        <f t="shared" si="519"/>
        <v>-3.9298825286646549E-2</v>
      </c>
    </row>
    <row r="154" spans="1:40" ht="15" customHeight="1" x14ac:dyDescent="0.2">
      <c r="G154" s="156"/>
      <c r="H154" s="155"/>
      <c r="I154" s="155"/>
      <c r="J154" s="155"/>
      <c r="K154" s="155"/>
      <c r="L154" s="156"/>
      <c r="M154" s="155"/>
      <c r="N154" s="155"/>
      <c r="O154" s="155"/>
      <c r="P154" s="155"/>
      <c r="Q154" s="156"/>
      <c r="R154" s="155"/>
      <c r="S154" s="155"/>
      <c r="T154" s="155"/>
      <c r="U154" s="155"/>
      <c r="V154" s="156"/>
      <c r="W154" s="155"/>
      <c r="X154" s="155"/>
      <c r="Y154" s="155"/>
      <c r="Z154" s="155"/>
      <c r="AA154" s="156"/>
      <c r="AB154" s="155"/>
      <c r="AC154" s="155"/>
      <c r="AD154" s="155"/>
      <c r="AE154" s="155"/>
      <c r="AF154" s="156"/>
      <c r="AG154" s="155"/>
      <c r="AH154" s="155"/>
      <c r="AI154" s="155"/>
      <c r="AJ154" s="155"/>
      <c r="AK154" s="156"/>
      <c r="AL154" s="156"/>
      <c r="AM154" s="156"/>
      <c r="AN154" s="156"/>
    </row>
    <row r="155" spans="1:40" ht="15" customHeight="1" x14ac:dyDescent="0.2">
      <c r="A155" s="121" t="s">
        <v>165</v>
      </c>
      <c r="G155" s="156">
        <f>SUM(C155:F155)</f>
        <v>0</v>
      </c>
      <c r="H155" s="155">
        <v>-8.1750000000000007</v>
      </c>
      <c r="I155" s="155">
        <v>-15.881</v>
      </c>
      <c r="J155" s="155">
        <v>-6.5510000000000002</v>
      </c>
      <c r="K155" s="155">
        <v>-10.879</v>
      </c>
      <c r="L155" s="156">
        <f>SUM(H155:K155)</f>
        <v>-41.485999999999997</v>
      </c>
      <c r="M155" s="155">
        <v>-6.0140000000000002</v>
      </c>
      <c r="N155" s="155">
        <v>-10.173999999999999</v>
      </c>
      <c r="O155" s="155">
        <v>-9.8369999999999997</v>
      </c>
      <c r="P155" s="155">
        <v>-11.125</v>
      </c>
      <c r="Q155" s="156">
        <f>SUM(M155:P155)</f>
        <v>-37.15</v>
      </c>
      <c r="R155" s="155">
        <v>-7.4409999999999998</v>
      </c>
      <c r="S155" s="155">
        <v>-6.19</v>
      </c>
      <c r="T155" s="155">
        <v>-10.840999999999999</v>
      </c>
      <c r="U155" s="155">
        <v>-3.7280000000000002</v>
      </c>
      <c r="V155" s="156">
        <f>SUM(R155:U155)</f>
        <v>-28.200000000000003</v>
      </c>
      <c r="W155" s="155">
        <v>-2.1429999999999998</v>
      </c>
      <c r="X155" s="155">
        <f>X156*X143</f>
        <v>-8.3177478090689565</v>
      </c>
      <c r="Y155" s="155">
        <f t="shared" ref="Y155:AL155" si="520">Y156*Y143</f>
        <v>-10.695146262585215</v>
      </c>
      <c r="Z155" s="155">
        <f t="shared" si="520"/>
        <v>-12.915398890589881</v>
      </c>
      <c r="AA155" s="156">
        <f>SUM(W155:Z155)</f>
        <v>-34.071292962244051</v>
      </c>
      <c r="AB155" s="155">
        <f t="shared" si="520"/>
        <v>-13.940940542665425</v>
      </c>
      <c r="AC155" s="155">
        <f t="shared" si="520"/>
        <v>-14.171183775727362</v>
      </c>
      <c r="AD155" s="155">
        <f t="shared" si="520"/>
        <v>-15.590079133586421</v>
      </c>
      <c r="AE155" s="155">
        <f t="shared" si="520"/>
        <v>-15.758448058084518</v>
      </c>
      <c r="AF155" s="156">
        <f>SUM(AB155:AE155)</f>
        <v>-59.460651510063727</v>
      </c>
      <c r="AG155" s="155">
        <f t="shared" si="520"/>
        <v>-16.234058773375345</v>
      </c>
      <c r="AH155" s="155">
        <f t="shared" si="520"/>
        <v>-15.732522547972083</v>
      </c>
      <c r="AI155" s="155">
        <f t="shared" si="520"/>
        <v>-16.923223486283952</v>
      </c>
      <c r="AJ155" s="155">
        <f t="shared" si="520"/>
        <v>-17.045985039280417</v>
      </c>
      <c r="AK155" s="156">
        <f>SUM(AG155:AJ155)</f>
        <v>-65.935789846911803</v>
      </c>
      <c r="AL155" s="156">
        <f t="shared" si="520"/>
        <v>-68.4733913755652</v>
      </c>
      <c r="AM155" s="156">
        <f t="shared" ref="AM155:AN155" si="521">AM156*AM143</f>
        <v>-71.264753057083936</v>
      </c>
      <c r="AN155" s="156">
        <f t="shared" si="521"/>
        <v>-74.335250906754567</v>
      </c>
    </row>
    <row r="156" spans="1:40" s="22" customFormat="1" ht="15" customHeight="1" x14ac:dyDescent="0.2">
      <c r="A156" s="122" t="s">
        <v>349</v>
      </c>
      <c r="G156" s="145">
        <f t="shared" ref="G156:W156" si="522">G155/G143</f>
        <v>0</v>
      </c>
      <c r="H156" s="120">
        <f t="shared" si="522"/>
        <v>-0.13282316240982647</v>
      </c>
      <c r="I156" s="120">
        <f t="shared" si="522"/>
        <v>-0.14814503866640547</v>
      </c>
      <c r="J156" s="120">
        <f t="shared" si="522"/>
        <v>-0.14552603518748891</v>
      </c>
      <c r="K156" s="120">
        <f t="shared" si="522"/>
        <v>-0.15970815349834111</v>
      </c>
      <c r="L156" s="145">
        <f t="shared" si="522"/>
        <v>-0.14717558118496812</v>
      </c>
      <c r="M156" s="120">
        <f t="shared" si="522"/>
        <v>-0.12638702084734366</v>
      </c>
      <c r="N156" s="120">
        <f t="shared" si="522"/>
        <v>-0.12962656236064571</v>
      </c>
      <c r="O156" s="120">
        <f t="shared" si="522"/>
        <v>-0.16758662986813858</v>
      </c>
      <c r="P156" s="120">
        <f t="shared" si="522"/>
        <v>-0.18228739963952151</v>
      </c>
      <c r="Q156" s="145">
        <f t="shared" si="522"/>
        <v>-0.15113975239931812</v>
      </c>
      <c r="R156" s="120">
        <f t="shared" si="522"/>
        <v>-0.19713347109627508</v>
      </c>
      <c r="S156" s="120">
        <f t="shared" si="522"/>
        <v>-0.11442620526471459</v>
      </c>
      <c r="T156" s="120">
        <f t="shared" si="522"/>
        <v>-0.21558255612782623</v>
      </c>
      <c r="U156" s="120">
        <f t="shared" si="522"/>
        <v>-6.4532880956914646E-2</v>
      </c>
      <c r="V156" s="145">
        <f t="shared" si="522"/>
        <v>-0.14107194669281334</v>
      </c>
      <c r="W156" s="120">
        <f t="shared" si="522"/>
        <v>-6.7498188919336038E-2</v>
      </c>
      <c r="X156" s="233">
        <v>-0.19</v>
      </c>
      <c r="Y156" s="233">
        <f t="shared" ref="Y156:AJ156" si="523">X156</f>
        <v>-0.19</v>
      </c>
      <c r="Z156" s="233">
        <f t="shared" si="523"/>
        <v>-0.19</v>
      </c>
      <c r="AA156" s="145">
        <f t="shared" ref="AA156" si="524">AA155/AA143</f>
        <v>-0.1705332675896907</v>
      </c>
      <c r="AB156" s="233">
        <f>Z156</f>
        <v>-0.19</v>
      </c>
      <c r="AC156" s="233">
        <f t="shared" si="523"/>
        <v>-0.19</v>
      </c>
      <c r="AD156" s="233">
        <f t="shared" si="523"/>
        <v>-0.19</v>
      </c>
      <c r="AE156" s="233">
        <f t="shared" si="523"/>
        <v>-0.19</v>
      </c>
      <c r="AF156" s="145">
        <f t="shared" ref="AF156" si="525">AF155/AF143</f>
        <v>-0.19</v>
      </c>
      <c r="AG156" s="233">
        <f>AE156</f>
        <v>-0.19</v>
      </c>
      <c r="AH156" s="233">
        <f t="shared" si="523"/>
        <v>-0.19</v>
      </c>
      <c r="AI156" s="233">
        <f t="shared" si="523"/>
        <v>-0.19</v>
      </c>
      <c r="AJ156" s="233">
        <f t="shared" si="523"/>
        <v>-0.19</v>
      </c>
      <c r="AK156" s="145">
        <f t="shared" ref="AK156" si="526">AK155/AK143</f>
        <v>-0.19000000000000003</v>
      </c>
      <c r="AL156" s="145">
        <f>AJ156</f>
        <v>-0.19</v>
      </c>
      <c r="AM156" s="145">
        <f>AL156</f>
        <v>-0.19</v>
      </c>
      <c r="AN156" s="145">
        <f>AM156</f>
        <v>-0.19</v>
      </c>
    </row>
    <row r="157" spans="1:40" ht="15" customHeight="1" x14ac:dyDescent="0.2">
      <c r="G157" s="156"/>
      <c r="H157" s="155"/>
      <c r="I157" s="155"/>
      <c r="J157" s="155"/>
      <c r="K157" s="155"/>
      <c r="L157" s="156"/>
      <c r="M157" s="155"/>
      <c r="N157" s="155"/>
      <c r="O157" s="155"/>
      <c r="P157" s="155"/>
      <c r="Q157" s="156"/>
      <c r="R157" s="155"/>
      <c r="S157" s="155"/>
      <c r="T157" s="155"/>
      <c r="U157" s="155"/>
      <c r="V157" s="156"/>
      <c r="W157" s="155"/>
      <c r="X157" s="155"/>
      <c r="Y157" s="155"/>
      <c r="Z157" s="155"/>
      <c r="AA157" s="156"/>
      <c r="AB157" s="155"/>
      <c r="AC157" s="155"/>
      <c r="AD157" s="155"/>
      <c r="AE157" s="155"/>
      <c r="AF157" s="156"/>
      <c r="AG157" s="155"/>
      <c r="AH157" s="155"/>
      <c r="AI157" s="155"/>
      <c r="AJ157" s="155"/>
      <c r="AK157" s="156"/>
      <c r="AL157" s="156"/>
      <c r="AM157" s="156"/>
      <c r="AN157" s="156"/>
    </row>
    <row r="158" spans="1:40" ht="15" customHeight="1" thickBot="1" x14ac:dyDescent="0.25">
      <c r="A158" s="29" t="s">
        <v>3</v>
      </c>
      <c r="B158" s="29"/>
      <c r="C158" s="29"/>
      <c r="D158" s="29"/>
      <c r="E158" s="29"/>
      <c r="F158" s="29"/>
      <c r="G158" s="144">
        <f t="shared" ref="G158" si="527">G143+G155</f>
        <v>302.19</v>
      </c>
      <c r="H158" s="118">
        <f t="shared" ref="H158:AN158" si="528">H143+H155</f>
        <v>53.373000000000005</v>
      </c>
      <c r="I158" s="118">
        <f t="shared" si="528"/>
        <v>91.318000000000012</v>
      </c>
      <c r="J158" s="118">
        <f t="shared" si="528"/>
        <v>38.464999999999989</v>
      </c>
      <c r="K158" s="118">
        <f t="shared" si="528"/>
        <v>57.238999999999997</v>
      </c>
      <c r="L158" s="144">
        <f t="shared" si="528"/>
        <v>240.39499999999998</v>
      </c>
      <c r="M158" s="118">
        <f t="shared" si="528"/>
        <v>41.569999999999993</v>
      </c>
      <c r="N158" s="118">
        <f t="shared" si="528"/>
        <v>68.312999999999988</v>
      </c>
      <c r="O158" s="118">
        <f t="shared" si="528"/>
        <v>48.861000000000004</v>
      </c>
      <c r="P158" s="118">
        <f t="shared" si="528"/>
        <v>49.905000000000015</v>
      </c>
      <c r="Q158" s="144">
        <f t="shared" ref="Q158" si="529">Q143+Q155</f>
        <v>208.649</v>
      </c>
      <c r="R158" s="118">
        <f t="shared" si="528"/>
        <v>30.305000000000003</v>
      </c>
      <c r="S158" s="118">
        <f t="shared" si="528"/>
        <v>47.906000000000006</v>
      </c>
      <c r="T158" s="118">
        <f t="shared" si="528"/>
        <v>39.446000000000005</v>
      </c>
      <c r="U158" s="118">
        <f t="shared" si="528"/>
        <v>54.040999999999968</v>
      </c>
      <c r="V158" s="144">
        <f t="shared" si="528"/>
        <v>171.69800000000004</v>
      </c>
      <c r="W158" s="118">
        <f t="shared" si="528"/>
        <v>29.605999999999998</v>
      </c>
      <c r="X158" s="118">
        <f t="shared" si="528"/>
        <v>35.459872238662392</v>
      </c>
      <c r="Y158" s="118">
        <f t="shared" si="528"/>
        <v>45.595097224705398</v>
      </c>
      <c r="Z158" s="118">
        <f t="shared" si="528"/>
        <v>55.060384744093696</v>
      </c>
      <c r="AA158" s="144">
        <f t="shared" ref="AA158" si="530">AA143+AA155</f>
        <v>165.72135420746145</v>
      </c>
      <c r="AB158" s="118">
        <f t="shared" si="528"/>
        <v>59.432430734521027</v>
      </c>
      <c r="AC158" s="118">
        <f t="shared" si="528"/>
        <v>60.413993991258756</v>
      </c>
      <c r="AD158" s="118">
        <f t="shared" si="528"/>
        <v>66.462968937921062</v>
      </c>
      <c r="AE158" s="118">
        <f t="shared" si="528"/>
        <v>67.180752247623474</v>
      </c>
      <c r="AF158" s="144">
        <f t="shared" si="528"/>
        <v>253.4901459113243</v>
      </c>
      <c r="AG158" s="118">
        <f t="shared" si="528"/>
        <v>69.208355823337001</v>
      </c>
      <c r="AH158" s="118">
        <f t="shared" si="528"/>
        <v>67.070227704512561</v>
      </c>
      <c r="AI158" s="118">
        <f t="shared" si="528"/>
        <v>72.146373809947363</v>
      </c>
      <c r="AJ158" s="118">
        <f t="shared" si="528"/>
        <v>72.66972569377441</v>
      </c>
      <c r="AK158" s="144">
        <f t="shared" ref="AK158" si="531">AK143+AK155</f>
        <v>281.09468303157132</v>
      </c>
      <c r="AL158" s="144">
        <f t="shared" si="528"/>
        <v>291.91287902214634</v>
      </c>
      <c r="AM158" s="144">
        <f t="shared" si="528"/>
        <v>303.81289461177892</v>
      </c>
      <c r="AN158" s="144">
        <f t="shared" si="528"/>
        <v>316.90291176037476</v>
      </c>
    </row>
    <row r="159" spans="1:40" ht="15" customHeight="1" thickTop="1" x14ac:dyDescent="0.2">
      <c r="G159" s="156"/>
      <c r="H159" s="155"/>
      <c r="I159" s="155"/>
      <c r="J159" s="155"/>
      <c r="K159" s="155"/>
      <c r="L159" s="156"/>
      <c r="M159" s="155"/>
      <c r="N159" s="155"/>
      <c r="O159" s="155"/>
      <c r="P159" s="155"/>
      <c r="Q159" s="156"/>
      <c r="R159" s="155"/>
      <c r="S159" s="155"/>
      <c r="T159" s="155"/>
      <c r="U159" s="155"/>
      <c r="V159" s="156"/>
      <c r="W159" s="155"/>
      <c r="X159" s="155"/>
      <c r="Y159" s="155"/>
      <c r="Z159" s="155"/>
      <c r="AA159" s="156"/>
      <c r="AB159" s="155"/>
      <c r="AC159" s="155"/>
      <c r="AD159" s="155"/>
      <c r="AE159" s="155"/>
      <c r="AF159" s="156"/>
      <c r="AG159" s="155"/>
      <c r="AH159" s="155"/>
      <c r="AI159" s="155"/>
      <c r="AJ159" s="155"/>
      <c r="AK159" s="156"/>
      <c r="AL159" s="156"/>
      <c r="AM159" s="156"/>
      <c r="AN159" s="156"/>
    </row>
    <row r="160" spans="1:40" ht="15" customHeight="1" x14ac:dyDescent="0.2">
      <c r="A160" s="22" t="s">
        <v>380</v>
      </c>
      <c r="B160" s="22"/>
      <c r="C160" s="22"/>
      <c r="D160" s="22"/>
      <c r="E160" s="22"/>
      <c r="F160" s="22"/>
      <c r="G160" s="310">
        <v>64.5</v>
      </c>
      <c r="H160" s="311"/>
      <c r="I160" s="311"/>
      <c r="J160" s="311"/>
      <c r="K160" s="311"/>
      <c r="L160" s="310">
        <v>64.209999999999994</v>
      </c>
      <c r="M160" s="311"/>
      <c r="N160" s="311"/>
      <c r="O160" s="311"/>
      <c r="P160" s="311"/>
      <c r="Q160" s="310">
        <v>65.599999999999994</v>
      </c>
      <c r="R160" s="311"/>
      <c r="S160" s="311"/>
      <c r="T160" s="311"/>
      <c r="U160" s="311"/>
      <c r="V160" s="310">
        <v>63.25</v>
      </c>
      <c r="W160" s="311"/>
      <c r="X160" s="311">
        <f>V160+((X237+X263+X264))/$A$2</f>
        <v>63.196061555665779</v>
      </c>
      <c r="Y160" s="311">
        <f>X160+((Y237+Y263+Y264))/$A$2</f>
        <v>63.12845009277887</v>
      </c>
      <c r="Z160" s="311">
        <f>Y160+((Z237+Z263+Z264))/$A$2</f>
        <v>63.036066654931957</v>
      </c>
      <c r="AA160" s="310">
        <f>V160+((AA237+AA263+AA264))/$A$2</f>
        <v>62.90264985986262</v>
      </c>
      <c r="AB160" s="311">
        <f>AA160+((AB237+AB263+AB264))/$A$2</f>
        <v>62.880085263525658</v>
      </c>
      <c r="AC160" s="311">
        <f t="shared" ref="AC160:AJ160" si="532">AB160+((AC237+AC263+AC264))/$A$2</f>
        <v>62.766068521443465</v>
      </c>
      <c r="AD160" s="311">
        <f t="shared" si="532"/>
        <v>62.648216612405712</v>
      </c>
      <c r="AE160" s="311">
        <f t="shared" si="532"/>
        <v>62.5266527828419</v>
      </c>
      <c r="AF160" s="310">
        <f>AA160+((AF237+AF263+AF264))/$A$2</f>
        <v>62.526652782841907</v>
      </c>
      <c r="AG160" s="311">
        <f t="shared" si="532"/>
        <v>62.48055215730421</v>
      </c>
      <c r="AH160" s="311">
        <f t="shared" si="532"/>
        <v>62.350510199232865</v>
      </c>
      <c r="AI160" s="311">
        <f t="shared" si="532"/>
        <v>62.218975208357605</v>
      </c>
      <c r="AJ160" s="311">
        <f t="shared" si="532"/>
        <v>62.084196400350635</v>
      </c>
      <c r="AK160" s="310">
        <f>AF160+((AK237+AK263+AK264))/$A$2</f>
        <v>62.084196400350642</v>
      </c>
      <c r="AL160" s="310">
        <f>AK160+((AL237+AL263+AL264))/$A$2</f>
        <v>61.615694669268819</v>
      </c>
      <c r="AM160" s="310">
        <f t="shared" ref="AM160:AN160" si="533">AL160+((AM237+AM263+AM264))/$A$2</f>
        <v>61.11854305473738</v>
      </c>
      <c r="AN160" s="310">
        <f t="shared" si="533"/>
        <v>60.589876568411363</v>
      </c>
    </row>
    <row r="161" spans="1:40" ht="15" customHeight="1" x14ac:dyDescent="0.2">
      <c r="G161" s="156"/>
      <c r="H161" s="155"/>
      <c r="I161" s="155"/>
      <c r="J161" s="155"/>
      <c r="K161" s="155"/>
      <c r="L161" s="156"/>
      <c r="M161" s="155"/>
      <c r="N161" s="155"/>
      <c r="O161" s="155"/>
      <c r="P161" s="155"/>
      <c r="Q161" s="156"/>
      <c r="R161" s="155"/>
      <c r="S161" s="155"/>
      <c r="T161" s="155"/>
      <c r="U161" s="155"/>
      <c r="V161" s="156"/>
      <c r="W161" s="155"/>
      <c r="X161" s="155"/>
      <c r="Y161" s="155"/>
      <c r="Z161" s="155"/>
      <c r="AA161" s="156"/>
      <c r="AB161" s="155"/>
      <c r="AC161" s="155"/>
      <c r="AD161" s="155"/>
      <c r="AE161" s="155"/>
      <c r="AF161" s="156"/>
      <c r="AG161" s="155"/>
      <c r="AH161" s="155"/>
      <c r="AI161" s="155"/>
      <c r="AJ161" s="155"/>
      <c r="AK161" s="156"/>
      <c r="AL161" s="156"/>
      <c r="AM161" s="156"/>
      <c r="AN161" s="156"/>
    </row>
    <row r="162" spans="1:40" ht="15" customHeight="1" thickBot="1" x14ac:dyDescent="0.25">
      <c r="A162" s="29" t="s">
        <v>600</v>
      </c>
      <c r="B162" s="29"/>
      <c r="C162" s="29"/>
      <c r="D162" s="29"/>
      <c r="E162" s="29"/>
      <c r="F162" s="29"/>
      <c r="G162" s="144">
        <f>G158/G160</f>
        <v>4.6851162790697671</v>
      </c>
      <c r="H162" s="118"/>
      <c r="I162" s="118"/>
      <c r="J162" s="118"/>
      <c r="K162" s="118"/>
      <c r="L162" s="144">
        <f>L158/L160</f>
        <v>3.7438872449774179</v>
      </c>
      <c r="M162" s="118"/>
      <c r="N162" s="118"/>
      <c r="O162" s="118"/>
      <c r="P162" s="118"/>
      <c r="Q162" s="144">
        <f>Q158/Q160</f>
        <v>3.1806250000000005</v>
      </c>
      <c r="R162" s="118"/>
      <c r="S162" s="118"/>
      <c r="T162" s="118"/>
      <c r="U162" s="118"/>
      <c r="V162" s="144">
        <f>V158/V160</f>
        <v>2.7145928853754948</v>
      </c>
      <c r="W162" s="118"/>
      <c r="X162" s="118">
        <f>X158/X160</f>
        <v>0.56110889453811652</v>
      </c>
      <c r="Y162" s="118">
        <f t="shared" ref="Y162:AN162" si="534">Y158/Y160</f>
        <v>0.72225909487235973</v>
      </c>
      <c r="Z162" s="118">
        <f t="shared" si="534"/>
        <v>0.87347430869222487</v>
      </c>
      <c r="AA162" s="144">
        <f>AA158/AA160</f>
        <v>2.63456872765556</v>
      </c>
      <c r="AB162" s="118">
        <f t="shared" si="534"/>
        <v>0.94517096288028601</v>
      </c>
      <c r="AC162" s="118">
        <f t="shared" si="534"/>
        <v>0.96252633651283825</v>
      </c>
      <c r="AD162" s="118">
        <f t="shared" si="534"/>
        <v>1.060891634778953</v>
      </c>
      <c r="AE162" s="118">
        <f t="shared" si="534"/>
        <v>1.0744338495288639</v>
      </c>
      <c r="AF162" s="144">
        <f t="shared" si="534"/>
        <v>4.0541134800819716</v>
      </c>
      <c r="AG162" s="118">
        <f t="shared" si="534"/>
        <v>1.1076783644468207</v>
      </c>
      <c r="AH162" s="118">
        <f t="shared" si="534"/>
        <v>1.0756965338406768</v>
      </c>
      <c r="AI162" s="118">
        <f t="shared" si="534"/>
        <v>1.1595558038097717</v>
      </c>
      <c r="AJ162" s="118">
        <f t="shared" si="534"/>
        <v>1.1705027995395618</v>
      </c>
      <c r="AK162" s="144">
        <f t="shared" si="534"/>
        <v>4.5276366503792538</v>
      </c>
      <c r="AL162" s="144">
        <f t="shared" si="534"/>
        <v>4.7376383661505574</v>
      </c>
      <c r="AM162" s="144">
        <f t="shared" si="534"/>
        <v>4.9708792033816316</v>
      </c>
      <c r="AN162" s="144">
        <f t="shared" si="534"/>
        <v>5.2302947242773001</v>
      </c>
    </row>
    <row r="163" spans="1:40" ht="15" customHeight="1" thickTop="1" x14ac:dyDescent="0.2">
      <c r="G163" s="156"/>
      <c r="H163" s="155"/>
      <c r="I163" s="155"/>
      <c r="J163" s="155"/>
      <c r="K163" s="155"/>
      <c r="L163" s="156"/>
      <c r="M163" s="155"/>
      <c r="N163" s="155"/>
      <c r="O163" s="155"/>
      <c r="P163" s="155"/>
      <c r="Q163" s="156"/>
      <c r="R163" s="155"/>
      <c r="S163" s="155"/>
      <c r="T163" s="155"/>
      <c r="U163" s="155"/>
      <c r="V163" s="156"/>
      <c r="W163" s="155"/>
      <c r="X163" s="155"/>
      <c r="Y163" s="155"/>
      <c r="Z163" s="155"/>
      <c r="AA163" s="156"/>
      <c r="AB163" s="155"/>
      <c r="AC163" s="155"/>
      <c r="AD163" s="155"/>
      <c r="AE163" s="155"/>
      <c r="AF163" s="156"/>
      <c r="AG163" s="155"/>
      <c r="AH163" s="155"/>
      <c r="AI163" s="155"/>
      <c r="AJ163" s="155"/>
      <c r="AK163" s="156"/>
      <c r="AL163" s="156"/>
      <c r="AM163" s="156"/>
      <c r="AN163" s="156"/>
    </row>
    <row r="164" spans="1:40" ht="15" customHeight="1" x14ac:dyDescent="0.2">
      <c r="A164" s="121" t="s">
        <v>601</v>
      </c>
      <c r="G164" s="156"/>
      <c r="H164" s="155"/>
      <c r="I164" s="155"/>
      <c r="J164" s="155"/>
      <c r="K164" s="155"/>
      <c r="L164" s="156"/>
      <c r="M164" s="155"/>
      <c r="N164" s="155"/>
      <c r="O164" s="155"/>
      <c r="P164" s="155"/>
      <c r="Q164" s="156"/>
      <c r="R164" s="155"/>
      <c r="S164" s="155"/>
      <c r="T164" s="155"/>
      <c r="U164" s="155"/>
      <c r="V164" s="156"/>
      <c r="W164" s="155"/>
      <c r="X164" s="312">
        <v>0.22</v>
      </c>
      <c r="Y164" s="312">
        <f>X164</f>
        <v>0.22</v>
      </c>
      <c r="Z164" s="312">
        <f>Y164</f>
        <v>0.22</v>
      </c>
      <c r="AA164" s="156">
        <f>SUM(W164:Z164)</f>
        <v>0.66</v>
      </c>
      <c r="AB164" s="312">
        <f>Z164*1.15</f>
        <v>0.253</v>
      </c>
      <c r="AC164" s="312">
        <f>AB164</f>
        <v>0.253</v>
      </c>
      <c r="AD164" s="312">
        <f t="shared" ref="AD164:AE164" si="535">AC164</f>
        <v>0.253</v>
      </c>
      <c r="AE164" s="312">
        <f t="shared" si="535"/>
        <v>0.253</v>
      </c>
      <c r="AF164" s="156">
        <f>SUM(AB164:AE164)</f>
        <v>1.012</v>
      </c>
      <c r="AG164" s="312">
        <f>AE164*1.15</f>
        <v>0.29094999999999999</v>
      </c>
      <c r="AH164" s="312">
        <f>AG164</f>
        <v>0.29094999999999999</v>
      </c>
      <c r="AI164" s="312">
        <f t="shared" ref="AI164:AJ164" si="536">AH164</f>
        <v>0.29094999999999999</v>
      </c>
      <c r="AJ164" s="312">
        <f t="shared" si="536"/>
        <v>0.29094999999999999</v>
      </c>
      <c r="AK164" s="156">
        <f>SUM(AG164:AJ164)</f>
        <v>1.1637999999999999</v>
      </c>
      <c r="AL164" s="237">
        <f>AK164*1.15</f>
        <v>1.3383699999999998</v>
      </c>
      <c r="AM164" s="237">
        <f t="shared" ref="AM164:AN164" si="537">AL164*1.15</f>
        <v>1.5391254999999997</v>
      </c>
      <c r="AN164" s="237">
        <f t="shared" si="537"/>
        <v>1.7699943249999994</v>
      </c>
    </row>
    <row r="165" spans="1:40" ht="15" customHeight="1" x14ac:dyDescent="0.2">
      <c r="G165" s="156"/>
      <c r="H165" s="155"/>
      <c r="I165" s="155"/>
      <c r="J165" s="155"/>
      <c r="K165" s="155"/>
      <c r="L165" s="156"/>
      <c r="M165" s="155"/>
      <c r="N165" s="155"/>
      <c r="O165" s="155"/>
      <c r="P165" s="155"/>
      <c r="Q165" s="156"/>
      <c r="R165" s="155"/>
      <c r="S165" s="155"/>
      <c r="T165" s="155"/>
      <c r="U165" s="155"/>
      <c r="V165" s="156"/>
      <c r="W165" s="155"/>
      <c r="X165" s="155"/>
      <c r="Y165" s="155"/>
      <c r="Z165" s="155"/>
      <c r="AA165" s="156"/>
      <c r="AB165" s="155"/>
      <c r="AC165" s="155"/>
      <c r="AD165" s="155"/>
      <c r="AE165" s="155"/>
      <c r="AF165" s="156"/>
      <c r="AG165" s="155"/>
      <c r="AH165" s="155"/>
      <c r="AI165" s="155"/>
      <c r="AJ165" s="155"/>
      <c r="AK165" s="156"/>
      <c r="AL165" s="156"/>
      <c r="AM165" s="156"/>
      <c r="AN165" s="156"/>
    </row>
    <row r="166" spans="1:40" ht="15" customHeight="1" x14ac:dyDescent="0.2">
      <c r="G166" s="156"/>
      <c r="H166" s="155"/>
      <c r="I166" s="155"/>
      <c r="J166" s="155"/>
      <c r="K166" s="155"/>
      <c r="L166" s="156"/>
      <c r="M166" s="155"/>
      <c r="N166" s="155"/>
      <c r="O166" s="155"/>
      <c r="P166" s="155"/>
      <c r="Q166" s="156"/>
      <c r="R166" s="155"/>
      <c r="S166" s="155"/>
      <c r="T166" s="155"/>
      <c r="U166" s="155"/>
      <c r="V166" s="156"/>
      <c r="W166" s="155"/>
      <c r="X166" s="155"/>
      <c r="Y166" s="155"/>
      <c r="Z166" s="155"/>
      <c r="AA166" s="156"/>
      <c r="AB166" s="155"/>
      <c r="AC166" s="155"/>
      <c r="AD166" s="155"/>
      <c r="AE166" s="155"/>
      <c r="AF166" s="156"/>
      <c r="AG166" s="155"/>
      <c r="AH166" s="155"/>
      <c r="AI166" s="155"/>
      <c r="AJ166" s="155"/>
      <c r="AK166" s="156"/>
      <c r="AL166" s="156"/>
      <c r="AM166" s="156"/>
      <c r="AN166" s="156"/>
    </row>
    <row r="167" spans="1:40" ht="15" customHeight="1" x14ac:dyDescent="0.2">
      <c r="A167" s="121" t="s">
        <v>419</v>
      </c>
      <c r="G167" s="156"/>
      <c r="H167" s="155"/>
      <c r="I167" s="155"/>
      <c r="J167" s="155"/>
      <c r="K167" s="155"/>
      <c r="L167" s="156"/>
      <c r="M167" s="155"/>
      <c r="N167" s="155"/>
      <c r="O167" s="155"/>
      <c r="P167" s="155"/>
      <c r="Q167" s="156"/>
      <c r="R167" s="155"/>
      <c r="S167" s="155"/>
      <c r="T167" s="155"/>
      <c r="U167" s="155"/>
      <c r="V167" s="156"/>
      <c r="W167" s="155"/>
      <c r="X167" s="155"/>
      <c r="Y167" s="155"/>
      <c r="Z167" s="155"/>
      <c r="AA167" s="156"/>
      <c r="AB167" s="155"/>
      <c r="AC167" s="155"/>
      <c r="AD167" s="155"/>
      <c r="AE167" s="155"/>
      <c r="AF167" s="156"/>
      <c r="AG167" s="155"/>
      <c r="AH167" s="155"/>
      <c r="AI167" s="155"/>
      <c r="AJ167" s="155"/>
      <c r="AK167" s="156"/>
      <c r="AL167" s="156"/>
      <c r="AM167" s="156"/>
      <c r="AN167" s="156"/>
    </row>
    <row r="168" spans="1:40" ht="15" customHeight="1" x14ac:dyDescent="0.2">
      <c r="A168" s="121" t="s">
        <v>360</v>
      </c>
      <c r="G168" s="156">
        <f t="shared" ref="G168" si="538">G141</f>
        <v>363.2</v>
      </c>
      <c r="H168" s="155">
        <f>H141</f>
        <v>70.070000000000007</v>
      </c>
      <c r="I168" s="155">
        <f t="shared" ref="I168:AN168" si="539">I141</f>
        <v>115.47900000000001</v>
      </c>
      <c r="J168" s="155">
        <f t="shared" si="539"/>
        <v>53.375999999999991</v>
      </c>
      <c r="K168" s="155">
        <f t="shared" si="539"/>
        <v>77.002999999999986</v>
      </c>
      <c r="L168" s="156">
        <f t="shared" si="539"/>
        <v>315.928</v>
      </c>
      <c r="M168" s="155">
        <f t="shared" si="539"/>
        <v>55.994999999999997</v>
      </c>
      <c r="N168" s="155">
        <f t="shared" si="539"/>
        <v>86.452999999999989</v>
      </c>
      <c r="O168" s="155">
        <f t="shared" si="539"/>
        <v>66.787000000000006</v>
      </c>
      <c r="P168" s="155">
        <f t="shared" si="539"/>
        <v>69.351000000000013</v>
      </c>
      <c r="Q168" s="156">
        <f t="shared" si="539"/>
        <v>278.58600000000001</v>
      </c>
      <c r="R168" s="155">
        <f t="shared" si="539"/>
        <v>45.411000000000001</v>
      </c>
      <c r="S168" s="155">
        <f t="shared" si="539"/>
        <v>61.793000000000006</v>
      </c>
      <c r="T168" s="155">
        <f t="shared" si="539"/>
        <v>58.467000000000006</v>
      </c>
      <c r="U168" s="155">
        <f t="shared" si="539"/>
        <v>66.95799999999997</v>
      </c>
      <c r="V168" s="156">
        <f t="shared" si="539"/>
        <v>232.62900000000002</v>
      </c>
      <c r="W168" s="155">
        <f t="shared" si="539"/>
        <v>42.524999999999999</v>
      </c>
      <c r="X168" s="155">
        <f t="shared" si="539"/>
        <v>54.553620047731343</v>
      </c>
      <c r="Y168" s="155">
        <f t="shared" si="539"/>
        <v>67.066243487290606</v>
      </c>
      <c r="Z168" s="155">
        <f t="shared" si="539"/>
        <v>78.751783634683576</v>
      </c>
      <c r="AA168" s="156">
        <f t="shared" si="539"/>
        <v>242.89664716970549</v>
      </c>
      <c r="AB168" s="155">
        <f t="shared" si="539"/>
        <v>84.149371277186447</v>
      </c>
      <c r="AC168" s="155">
        <f t="shared" si="539"/>
        <v>85.361177766986117</v>
      </c>
      <c r="AD168" s="155">
        <f t="shared" si="539"/>
        <v>92.829048071507472</v>
      </c>
      <c r="AE168" s="155">
        <f t="shared" si="539"/>
        <v>93.715200305707981</v>
      </c>
      <c r="AF168" s="156">
        <f t="shared" si="539"/>
        <v>356.054797421388</v>
      </c>
      <c r="AG168" s="155">
        <f t="shared" si="539"/>
        <v>96.218414596712336</v>
      </c>
      <c r="AH168" s="155">
        <f t="shared" si="539"/>
        <v>93.578750252484639</v>
      </c>
      <c r="AI168" s="155">
        <f t="shared" si="539"/>
        <v>99.845597296231318</v>
      </c>
      <c r="AJ168" s="155">
        <f t="shared" si="539"/>
        <v>100.49171073305483</v>
      </c>
      <c r="AK168" s="156">
        <f t="shared" si="539"/>
        <v>390.13447287848311</v>
      </c>
      <c r="AL168" s="156">
        <f t="shared" si="539"/>
        <v>403.49027039771153</v>
      </c>
      <c r="AM168" s="156">
        <f t="shared" si="539"/>
        <v>418.18164766886281</v>
      </c>
      <c r="AN168" s="156">
        <f t="shared" si="539"/>
        <v>434.34216266712929</v>
      </c>
    </row>
    <row r="169" spans="1:40" ht="15" customHeight="1" x14ac:dyDescent="0.2">
      <c r="A169" s="121" t="s">
        <v>361</v>
      </c>
      <c r="G169" s="156">
        <f t="shared" ref="G169" si="540">G233</f>
        <v>0</v>
      </c>
      <c r="H169" s="155">
        <f>H233</f>
        <v>32.451000000000001</v>
      </c>
      <c r="I169" s="155">
        <f t="shared" ref="I169:AN169" si="541">I233</f>
        <v>33.024999999999999</v>
      </c>
      <c r="J169" s="155">
        <f t="shared" si="541"/>
        <v>32.106000000000002</v>
      </c>
      <c r="K169" s="155">
        <f t="shared" si="541"/>
        <v>33.575999999999993</v>
      </c>
      <c r="L169" s="156">
        <f t="shared" si="541"/>
        <v>131.15799999999999</v>
      </c>
      <c r="M169" s="155">
        <f t="shared" si="541"/>
        <v>33.076999999999998</v>
      </c>
      <c r="N169" s="155">
        <f t="shared" si="541"/>
        <v>32.478999999999999</v>
      </c>
      <c r="O169" s="155">
        <f t="shared" si="541"/>
        <v>32.243000000000009</v>
      </c>
      <c r="P169" s="155">
        <f t="shared" si="541"/>
        <v>31.724999999999994</v>
      </c>
      <c r="Q169" s="156">
        <f t="shared" si="541"/>
        <v>129.524</v>
      </c>
      <c r="R169" s="155">
        <f t="shared" si="541"/>
        <v>30.721</v>
      </c>
      <c r="S169" s="155">
        <f t="shared" si="541"/>
        <v>30.610000000000003</v>
      </c>
      <c r="T169" s="155">
        <f t="shared" si="541"/>
        <v>29.926999999999989</v>
      </c>
      <c r="U169" s="155">
        <f t="shared" si="541"/>
        <v>29.370000000000005</v>
      </c>
      <c r="V169" s="156">
        <f t="shared" si="541"/>
        <v>120.628</v>
      </c>
      <c r="W169" s="155">
        <f t="shared" si="541"/>
        <v>29.303999999999998</v>
      </c>
      <c r="X169" s="155">
        <f t="shared" si="541"/>
        <v>30.477510764999998</v>
      </c>
      <c r="Y169" s="155">
        <f t="shared" si="541"/>
        <v>31.938489765000003</v>
      </c>
      <c r="Z169" s="155">
        <f t="shared" si="541"/>
        <v>32.880138525</v>
      </c>
      <c r="AA169" s="156">
        <f t="shared" si="541"/>
        <v>124.600139055</v>
      </c>
      <c r="AB169" s="155">
        <f t="shared" si="541"/>
        <v>33.079991759099997</v>
      </c>
      <c r="AC169" s="155">
        <f t="shared" si="541"/>
        <v>32.6923248015</v>
      </c>
      <c r="AD169" s="155">
        <f t="shared" si="541"/>
        <v>34.673807083499995</v>
      </c>
      <c r="AE169" s="155">
        <f t="shared" si="541"/>
        <v>34.953460717499993</v>
      </c>
      <c r="AF169" s="156">
        <f t="shared" si="541"/>
        <v>135.39958436159998</v>
      </c>
      <c r="AG169" s="155">
        <f t="shared" si="541"/>
        <v>35.743429919339995</v>
      </c>
      <c r="AH169" s="155">
        <f t="shared" si="541"/>
        <v>34.910399546099995</v>
      </c>
      <c r="AI169" s="155">
        <f t="shared" si="541"/>
        <v>36.888103242900002</v>
      </c>
      <c r="AJ169" s="155">
        <f t="shared" si="541"/>
        <v>37.092004969500003</v>
      </c>
      <c r="AK169" s="156">
        <f t="shared" si="541"/>
        <v>144.63393767784001</v>
      </c>
      <c r="AL169" s="156">
        <f t="shared" si="541"/>
        <v>148.84878606062401</v>
      </c>
      <c r="AM169" s="156">
        <f t="shared" si="541"/>
        <v>153.48511928168639</v>
      </c>
      <c r="AN169" s="156">
        <f t="shared" si="541"/>
        <v>158.58508582485504</v>
      </c>
    </row>
    <row r="170" spans="1:40" ht="15" customHeight="1" x14ac:dyDescent="0.2">
      <c r="A170" s="12" t="s">
        <v>4</v>
      </c>
      <c r="B170" s="12"/>
      <c r="C170" s="12"/>
      <c r="D170" s="12"/>
      <c r="E170" s="12"/>
      <c r="F170" s="12"/>
      <c r="G170" s="143">
        <f t="shared" ref="G170:AN170" si="542">SUM(G168:G169)</f>
        <v>363.2</v>
      </c>
      <c r="H170" s="34">
        <f>SUM(H168:H169)</f>
        <v>102.52100000000002</v>
      </c>
      <c r="I170" s="34">
        <f t="shared" si="542"/>
        <v>148.50400000000002</v>
      </c>
      <c r="J170" s="34">
        <f t="shared" si="542"/>
        <v>85.481999999999999</v>
      </c>
      <c r="K170" s="34">
        <f t="shared" si="542"/>
        <v>110.57899999999998</v>
      </c>
      <c r="L170" s="143">
        <f t="shared" si="542"/>
        <v>447.08600000000001</v>
      </c>
      <c r="M170" s="34">
        <f t="shared" si="542"/>
        <v>89.072000000000003</v>
      </c>
      <c r="N170" s="34">
        <f t="shared" si="542"/>
        <v>118.93199999999999</v>
      </c>
      <c r="O170" s="34">
        <f t="shared" si="542"/>
        <v>99.030000000000015</v>
      </c>
      <c r="P170" s="34">
        <f t="shared" si="542"/>
        <v>101.07600000000001</v>
      </c>
      <c r="Q170" s="143">
        <f t="shared" si="542"/>
        <v>408.11</v>
      </c>
      <c r="R170" s="34">
        <f t="shared" si="542"/>
        <v>76.132000000000005</v>
      </c>
      <c r="S170" s="34">
        <f t="shared" si="542"/>
        <v>92.403000000000006</v>
      </c>
      <c r="T170" s="34">
        <f t="shared" si="542"/>
        <v>88.393999999999991</v>
      </c>
      <c r="U170" s="34">
        <f t="shared" si="542"/>
        <v>96.327999999999975</v>
      </c>
      <c r="V170" s="143">
        <f t="shared" si="542"/>
        <v>353.25700000000001</v>
      </c>
      <c r="W170" s="34">
        <f t="shared" si="542"/>
        <v>71.828999999999994</v>
      </c>
      <c r="X170" s="34">
        <f t="shared" si="542"/>
        <v>85.031130812731334</v>
      </c>
      <c r="Y170" s="34">
        <f t="shared" si="542"/>
        <v>99.004733252290606</v>
      </c>
      <c r="Z170" s="34">
        <f t="shared" si="542"/>
        <v>111.63192215968357</v>
      </c>
      <c r="AA170" s="143">
        <f t="shared" si="542"/>
        <v>367.49678622470549</v>
      </c>
      <c r="AB170" s="34">
        <f t="shared" si="542"/>
        <v>117.22936303628644</v>
      </c>
      <c r="AC170" s="34">
        <f t="shared" si="542"/>
        <v>118.05350256848612</v>
      </c>
      <c r="AD170" s="34">
        <f t="shared" si="542"/>
        <v>127.50285515500747</v>
      </c>
      <c r="AE170" s="34">
        <f t="shared" si="542"/>
        <v>128.66866102320796</v>
      </c>
      <c r="AF170" s="143">
        <f t="shared" si="542"/>
        <v>491.45438178298798</v>
      </c>
      <c r="AG170" s="34">
        <f t="shared" si="542"/>
        <v>131.96184451605234</v>
      </c>
      <c r="AH170" s="34">
        <f t="shared" si="542"/>
        <v>128.48914979858463</v>
      </c>
      <c r="AI170" s="34">
        <f t="shared" si="542"/>
        <v>136.73370053913132</v>
      </c>
      <c r="AJ170" s="34">
        <f t="shared" si="542"/>
        <v>137.58371570255483</v>
      </c>
      <c r="AK170" s="143">
        <f t="shared" si="542"/>
        <v>534.76841055632315</v>
      </c>
      <c r="AL170" s="143">
        <f t="shared" si="542"/>
        <v>552.33905645833556</v>
      </c>
      <c r="AM170" s="143">
        <f t="shared" si="542"/>
        <v>571.66676695054923</v>
      </c>
      <c r="AN170" s="143">
        <f t="shared" si="542"/>
        <v>592.9272484919843</v>
      </c>
    </row>
    <row r="171" spans="1:40" ht="15" customHeight="1" x14ac:dyDescent="0.2">
      <c r="G171" s="156"/>
      <c r="H171" s="155"/>
      <c r="I171" s="155"/>
      <c r="J171" s="155"/>
      <c r="K171" s="155"/>
      <c r="L171" s="156"/>
      <c r="M171" s="155"/>
      <c r="N171" s="155"/>
      <c r="O171" s="155"/>
      <c r="P171" s="155"/>
      <c r="Q171" s="156"/>
      <c r="R171" s="155"/>
      <c r="S171" s="155"/>
      <c r="T171" s="155"/>
      <c r="U171" s="155"/>
      <c r="V171" s="156"/>
      <c r="W171" s="155"/>
      <c r="X171" s="155"/>
      <c r="Y171" s="155"/>
      <c r="Z171" s="155"/>
      <c r="AA171" s="156"/>
      <c r="AB171" s="155"/>
      <c r="AC171" s="155"/>
      <c r="AD171" s="155"/>
      <c r="AE171" s="155"/>
      <c r="AF171" s="156"/>
      <c r="AG171" s="155"/>
      <c r="AH171" s="155"/>
      <c r="AI171" s="155"/>
      <c r="AJ171" s="155"/>
      <c r="AK171" s="156"/>
      <c r="AL171" s="156"/>
      <c r="AM171" s="156"/>
      <c r="AN171" s="156"/>
    </row>
    <row r="172" spans="1:40" ht="15" customHeight="1" x14ac:dyDescent="0.2">
      <c r="A172" s="119" t="s">
        <v>202</v>
      </c>
      <c r="B172" s="119"/>
      <c r="C172" s="119"/>
      <c r="D172" s="119"/>
      <c r="E172" s="119"/>
      <c r="F172" s="119"/>
      <c r="G172" s="123"/>
      <c r="H172" s="119"/>
      <c r="I172" s="119"/>
      <c r="J172" s="119"/>
      <c r="K172" s="119"/>
      <c r="L172" s="123"/>
      <c r="M172" s="119"/>
      <c r="N172" s="119"/>
      <c r="O172" s="119"/>
      <c r="P172" s="119"/>
      <c r="Q172" s="123"/>
      <c r="R172" s="119"/>
      <c r="S172" s="119"/>
      <c r="T172" s="119"/>
      <c r="U172" s="119"/>
      <c r="V172" s="123"/>
      <c r="W172" s="119"/>
      <c r="X172" s="119"/>
      <c r="Y172" s="119"/>
      <c r="Z172" s="119"/>
      <c r="AA172" s="123"/>
      <c r="AB172" s="119"/>
      <c r="AC172" s="119"/>
      <c r="AD172" s="119"/>
      <c r="AE172" s="119"/>
      <c r="AF172" s="123"/>
      <c r="AG172" s="119"/>
      <c r="AH172" s="119"/>
      <c r="AI172" s="119"/>
      <c r="AJ172" s="119"/>
      <c r="AK172" s="123"/>
      <c r="AL172" s="123"/>
      <c r="AM172" s="123"/>
      <c r="AN172" s="123"/>
    </row>
    <row r="173" spans="1:40" ht="15" customHeight="1" x14ac:dyDescent="0.2">
      <c r="G173" s="156"/>
      <c r="H173" s="155"/>
      <c r="I173" s="155"/>
      <c r="J173" s="155"/>
      <c r="K173" s="155"/>
      <c r="L173" s="156"/>
      <c r="M173" s="155"/>
      <c r="N173" s="155"/>
      <c r="O173" s="155"/>
      <c r="P173" s="155"/>
      <c r="Q173" s="156"/>
      <c r="R173" s="155"/>
      <c r="S173" s="155"/>
      <c r="T173" s="155"/>
      <c r="U173" s="155"/>
      <c r="V173" s="156"/>
      <c r="W173" s="155"/>
      <c r="X173" s="155"/>
      <c r="Y173" s="155"/>
      <c r="Z173" s="155"/>
      <c r="AA173" s="156"/>
      <c r="AB173" s="155"/>
      <c r="AC173" s="155"/>
      <c r="AD173" s="155"/>
      <c r="AE173" s="155"/>
      <c r="AF173" s="156"/>
      <c r="AG173" s="155"/>
      <c r="AH173" s="155"/>
      <c r="AI173" s="155"/>
      <c r="AJ173" s="155"/>
      <c r="AK173" s="156"/>
      <c r="AL173" s="156"/>
      <c r="AM173" s="156"/>
      <c r="AN173" s="156"/>
    </row>
    <row r="174" spans="1:40" ht="15" customHeight="1" x14ac:dyDescent="0.2">
      <c r="A174" s="1" t="s">
        <v>21</v>
      </c>
      <c r="G174" s="116"/>
      <c r="H174" s="1"/>
      <c r="I174" s="1"/>
      <c r="J174" s="1"/>
      <c r="K174" s="1"/>
      <c r="L174" s="116"/>
      <c r="M174" s="24"/>
      <c r="N174" s="24"/>
      <c r="O174" s="24"/>
      <c r="P174" s="24"/>
      <c r="Q174" s="116"/>
      <c r="R174" s="1"/>
      <c r="S174" s="1"/>
      <c r="T174" s="1"/>
      <c r="U174" s="1"/>
      <c r="V174" s="116"/>
      <c r="W174" s="155"/>
      <c r="X174" s="155"/>
      <c r="Y174" s="155"/>
      <c r="Z174" s="155"/>
      <c r="AA174" s="116"/>
      <c r="AB174" s="155"/>
      <c r="AC174" s="155"/>
      <c r="AD174" s="155"/>
      <c r="AE174" s="155"/>
      <c r="AF174" s="116"/>
      <c r="AG174" s="155"/>
      <c r="AH174" s="155"/>
      <c r="AI174" s="155"/>
      <c r="AJ174" s="155"/>
      <c r="AK174" s="116"/>
      <c r="AL174" s="116"/>
      <c r="AM174" s="116"/>
      <c r="AN174" s="116"/>
    </row>
    <row r="175" spans="1:40" ht="15" customHeight="1" x14ac:dyDescent="0.2">
      <c r="G175" s="154"/>
      <c r="L175" s="154"/>
      <c r="M175" s="21"/>
      <c r="N175" s="21"/>
      <c r="O175" s="21"/>
      <c r="P175" s="21"/>
      <c r="Q175" s="154"/>
      <c r="V175" s="154"/>
      <c r="W175" s="155"/>
      <c r="X175" s="155"/>
      <c r="Y175" s="155"/>
      <c r="Z175" s="155"/>
      <c r="AA175" s="154"/>
      <c r="AB175" s="155"/>
      <c r="AC175" s="155"/>
      <c r="AD175" s="155"/>
      <c r="AE175" s="155"/>
      <c r="AF175" s="154"/>
      <c r="AG175" s="155"/>
      <c r="AH175" s="155"/>
      <c r="AI175" s="155"/>
      <c r="AJ175" s="155"/>
      <c r="AK175" s="154"/>
      <c r="AL175" s="154"/>
      <c r="AM175" s="154"/>
      <c r="AN175" s="154"/>
    </row>
    <row r="176" spans="1:40" ht="15" customHeight="1" x14ac:dyDescent="0.2">
      <c r="A176" s="121" t="s">
        <v>171</v>
      </c>
      <c r="G176" s="166">
        <f>F176</f>
        <v>0</v>
      </c>
      <c r="H176" s="37">
        <v>148.00800000000001</v>
      </c>
      <c r="I176" s="37">
        <v>102.849</v>
      </c>
      <c r="J176" s="37">
        <v>101.363</v>
      </c>
      <c r="K176" s="165">
        <v>153.27000000000001</v>
      </c>
      <c r="L176" s="166">
        <f>K176</f>
        <v>153.27000000000001</v>
      </c>
      <c r="M176" s="165">
        <v>201.881</v>
      </c>
      <c r="N176" s="165">
        <v>287.59500000000003</v>
      </c>
      <c r="O176" s="165">
        <v>362.00700000000001</v>
      </c>
      <c r="P176" s="165">
        <v>448.46199999999999</v>
      </c>
      <c r="Q176" s="166">
        <f>P176</f>
        <v>448.46199999999999</v>
      </c>
      <c r="R176" s="165">
        <v>426.98200000000003</v>
      </c>
      <c r="S176" s="165">
        <v>208.35499999999999</v>
      </c>
      <c r="T176" s="165">
        <v>99.700999999999993</v>
      </c>
      <c r="U176" s="165">
        <v>107.84399999999999</v>
      </c>
      <c r="V176" s="166">
        <f>U176</f>
        <v>107.84399999999999</v>
      </c>
      <c r="W176" s="165">
        <f>Sheet!B5/1000</f>
        <v>99.334999999999994</v>
      </c>
      <c r="X176" s="165">
        <f>W176+X270</f>
        <v>84.694930354943381</v>
      </c>
      <c r="Y176" s="165">
        <f>X176+Y270</f>
        <v>83.951451945574675</v>
      </c>
      <c r="Z176" s="165">
        <f>Y176+Z270</f>
        <v>105.69226204058342</v>
      </c>
      <c r="AA176" s="166">
        <f>Z176</f>
        <v>105.69226204058342</v>
      </c>
      <c r="AB176" s="165">
        <f>Z176+AB270</f>
        <v>146.75699092758992</v>
      </c>
      <c r="AC176" s="165">
        <f>AB176+AC270</f>
        <v>184.37096474487998</v>
      </c>
      <c r="AD176" s="165">
        <f>AC176+AD270</f>
        <v>172.01884953145967</v>
      </c>
      <c r="AE176" s="165">
        <f>AD176+AE270</f>
        <v>220.84849929391157</v>
      </c>
      <c r="AF176" s="166">
        <f>AE176</f>
        <v>220.84849929391157</v>
      </c>
      <c r="AG176" s="165">
        <f>AE176+AG270</f>
        <v>250.79723122369762</v>
      </c>
      <c r="AH176" s="165">
        <f>AG176+AH270</f>
        <v>290.782484393039</v>
      </c>
      <c r="AI176" s="165">
        <f>AH176+AI270</f>
        <v>293.41440333835703</v>
      </c>
      <c r="AJ176" s="165">
        <f>AI176+AJ270</f>
        <v>347.38220250312054</v>
      </c>
      <c r="AK176" s="166">
        <f>AJ176</f>
        <v>347.38220250312054</v>
      </c>
      <c r="AL176" s="166">
        <f>AJ176+AL270</f>
        <v>502.54323486017353</v>
      </c>
      <c r="AM176" s="166">
        <f>AL176+AM270</f>
        <v>652.75287418456151</v>
      </c>
      <c r="AN176" s="166">
        <f>AM176+AN270</f>
        <v>797.10631358314652</v>
      </c>
    </row>
    <row r="177" spans="1:40" ht="15" customHeight="1" x14ac:dyDescent="0.2">
      <c r="A177" s="121" t="s">
        <v>172</v>
      </c>
      <c r="G177" s="166">
        <f t="shared" ref="G177:G180" si="543">F177</f>
        <v>0</v>
      </c>
      <c r="H177" s="37">
        <v>572.44299999999998</v>
      </c>
      <c r="I177" s="37">
        <v>601.22400000000005</v>
      </c>
      <c r="J177" s="37">
        <v>537.51499999999999</v>
      </c>
      <c r="K177" s="165">
        <v>537.98699999999997</v>
      </c>
      <c r="L177" s="166">
        <f t="shared" ref="L177:L180" si="544">K177</f>
        <v>537.98699999999997</v>
      </c>
      <c r="M177" s="165">
        <v>509.721</v>
      </c>
      <c r="N177" s="165">
        <v>588.06399999999996</v>
      </c>
      <c r="O177" s="165">
        <v>571.94299999999998</v>
      </c>
      <c r="P177" s="165">
        <v>523.05100000000004</v>
      </c>
      <c r="Q177" s="166">
        <f t="shared" ref="Q177:Q180" si="545">P177</f>
        <v>523.05100000000004</v>
      </c>
      <c r="R177" s="165">
        <v>506.21600000000001</v>
      </c>
      <c r="S177" s="165">
        <v>575.17399999999998</v>
      </c>
      <c r="T177" s="165">
        <v>587.54600000000005</v>
      </c>
      <c r="U177" s="165">
        <v>609.96400000000006</v>
      </c>
      <c r="V177" s="166">
        <f t="shared" ref="V177:V180" si="546">U177</f>
        <v>609.96400000000006</v>
      </c>
      <c r="W177" s="165">
        <f>Sheet!B6/1000</f>
        <v>597.053</v>
      </c>
      <c r="X177" s="165">
        <f>X220*X$120/(X$8-W$8)</f>
        <v>649.44009092466843</v>
      </c>
      <c r="Y177" s="165">
        <f>Y220*Y$120/(Y$8-X$8)</f>
        <v>673.09303236886399</v>
      </c>
      <c r="Z177" s="165">
        <f>Z220*Z$120/(Z$8-Y$8)</f>
        <v>685.40603188518503</v>
      </c>
      <c r="AA177" s="166">
        <f t="shared" ref="AA177:AA180" si="547">Z177</f>
        <v>685.40603188518503</v>
      </c>
      <c r="AB177" s="165">
        <f>AB220*AB$120/(AB$8-Z$8)</f>
        <v>689.57209134505467</v>
      </c>
      <c r="AC177" s="165">
        <f>AC220*AC$120/(AC$8-AB$8)</f>
        <v>688.97985464371413</v>
      </c>
      <c r="AD177" s="165">
        <f>AD220*AD$120/(AD$8-AC$8)</f>
        <v>730.73893366059758</v>
      </c>
      <c r="AE177" s="165">
        <f>AE220*AE$120/(AE$8-AD$8)</f>
        <v>728.62566539434511</v>
      </c>
      <c r="AF177" s="166">
        <f t="shared" ref="AF177:AF180" si="548">AE177</f>
        <v>728.62566539434511</v>
      </c>
      <c r="AG177" s="165">
        <f>AG220*AG$120/(AG$8-AE$8)</f>
        <v>745.09304297345636</v>
      </c>
      <c r="AH177" s="165">
        <f>AH220*AH$120/(AH$8-AG$8)</f>
        <v>743.8997636733568</v>
      </c>
      <c r="AI177" s="165">
        <f>AI220*AI$120/(AI$8-AH$8)</f>
        <v>777.40448758815262</v>
      </c>
      <c r="AJ177" s="165">
        <f>AJ220*AJ$120/(AJ$8-AI$8)</f>
        <v>773.2048915025232</v>
      </c>
      <c r="AK177" s="166">
        <f t="shared" ref="AK177:AK180" si="549">AJ177</f>
        <v>773.2048915025232</v>
      </c>
      <c r="AL177" s="166">
        <f>AL220*AL120/365</f>
        <v>795.73723376488442</v>
      </c>
      <c r="AM177" s="166">
        <f>AM220*AM120/365</f>
        <v>820.52281025348145</v>
      </c>
      <c r="AN177" s="166">
        <f>AN220*AN120/365</f>
        <v>847.78694439093852</v>
      </c>
    </row>
    <row r="178" spans="1:40" ht="15" customHeight="1" x14ac:dyDescent="0.2">
      <c r="A178" s="121" t="s">
        <v>173</v>
      </c>
      <c r="G178" s="166">
        <f t="shared" si="543"/>
        <v>0</v>
      </c>
      <c r="H178" s="37">
        <v>520.26599999999996</v>
      </c>
      <c r="I178" s="37">
        <v>530.90599999999995</v>
      </c>
      <c r="J178" s="37">
        <v>505.94299999999998</v>
      </c>
      <c r="K178" s="165">
        <v>437.94299999999998</v>
      </c>
      <c r="L178" s="166">
        <f t="shared" si="544"/>
        <v>437.94299999999998</v>
      </c>
      <c r="M178" s="165">
        <v>445.46300000000002</v>
      </c>
      <c r="N178" s="165">
        <v>422.32100000000003</v>
      </c>
      <c r="O178" s="165">
        <v>427.49200000000002</v>
      </c>
      <c r="P178" s="165">
        <v>419.971</v>
      </c>
      <c r="Q178" s="166">
        <f t="shared" si="545"/>
        <v>419.971</v>
      </c>
      <c r="R178" s="165">
        <v>451.834</v>
      </c>
      <c r="S178" s="165">
        <v>484.93299999999999</v>
      </c>
      <c r="T178" s="165">
        <v>503.66399999999999</v>
      </c>
      <c r="U178" s="165">
        <v>514.28700000000003</v>
      </c>
      <c r="V178" s="166">
        <f t="shared" si="546"/>
        <v>514.28700000000003</v>
      </c>
      <c r="W178" s="165">
        <f>Sheet!B7/1000</f>
        <v>573.83399999999995</v>
      </c>
      <c r="X178" s="165">
        <f>X221*X$120/(X$8-W$8)</f>
        <v>585.46764558994721</v>
      </c>
      <c r="Y178" s="165">
        <f>Y221*Y$120/(Y$8-X$8)</f>
        <v>606.79067774044665</v>
      </c>
      <c r="Z178" s="165">
        <f>Z221*Z$120/(Z$8-Y$8)</f>
        <v>617.89079757860861</v>
      </c>
      <c r="AA178" s="166">
        <f t="shared" si="547"/>
        <v>617.89079757860861</v>
      </c>
      <c r="AB178" s="165">
        <f>AB221*AB$120/(AB$8-Z$8)</f>
        <v>621.64648352630684</v>
      </c>
      <c r="AC178" s="165">
        <f>AC221*AC$120/(AC$8-AB$8)</f>
        <v>621.11258450773516</v>
      </c>
      <c r="AD178" s="165">
        <f>AD221*AD$120/(AD$8-AC$8)</f>
        <v>658.75822729398431</v>
      </c>
      <c r="AE178" s="165">
        <f>AE221*AE$120/(AE$8-AD$8)</f>
        <v>656.85312440053463</v>
      </c>
      <c r="AF178" s="166">
        <f t="shared" si="548"/>
        <v>656.85312440053463</v>
      </c>
      <c r="AG178" s="165">
        <f>AG221*AG$120/(AG$8-AE$8)</f>
        <v>671.69839945362855</v>
      </c>
      <c r="AH178" s="165">
        <f>AH221*AH$120/(AH$8-AG$8)</f>
        <v>670.62266293516723</v>
      </c>
      <c r="AI178" s="165">
        <f>AI221*AI$120/(AI$8-AH$8)</f>
        <v>700.82703759674325</v>
      </c>
      <c r="AJ178" s="165">
        <f>AJ221*AJ$120/(AJ$8-AI$8)</f>
        <v>697.04111851499783</v>
      </c>
      <c r="AK178" s="166">
        <f t="shared" si="549"/>
        <v>697.04111851499783</v>
      </c>
      <c r="AL178" s="166">
        <f>AL221*AL120/365</f>
        <v>717.35393498308622</v>
      </c>
      <c r="AM178" s="166">
        <f>AM221*AM120/365</f>
        <v>739.69803309798328</v>
      </c>
      <c r="AN178" s="166">
        <f>AN221*AN120/365</f>
        <v>764.2765410243702</v>
      </c>
    </row>
    <row r="179" spans="1:40" ht="15" customHeight="1" x14ac:dyDescent="0.2">
      <c r="A179" s="121" t="s">
        <v>174</v>
      </c>
      <c r="G179" s="166">
        <f t="shared" si="543"/>
        <v>0</v>
      </c>
      <c r="H179" s="37">
        <v>8.7430000000000003</v>
      </c>
      <c r="I179" s="37">
        <v>37.405999999999999</v>
      </c>
      <c r="J179" s="37">
        <v>34.685000000000002</v>
      </c>
      <c r="K179" s="165">
        <v>28.879000000000001</v>
      </c>
      <c r="L179" s="166">
        <f t="shared" si="544"/>
        <v>28.879000000000001</v>
      </c>
      <c r="M179" s="165">
        <v>34.091999999999999</v>
      </c>
      <c r="N179" s="165">
        <v>30.459</v>
      </c>
      <c r="O179" s="165">
        <v>31.329000000000001</v>
      </c>
      <c r="P179" s="165">
        <v>12.071</v>
      </c>
      <c r="Q179" s="166">
        <f t="shared" si="545"/>
        <v>12.071</v>
      </c>
      <c r="R179" s="165">
        <v>8.9280000000000008</v>
      </c>
      <c r="S179" s="165">
        <v>17.414999999999999</v>
      </c>
      <c r="T179" s="165">
        <v>13.407999999999999</v>
      </c>
      <c r="U179" s="165">
        <v>5.1790000000000003</v>
      </c>
      <c r="V179" s="166">
        <f t="shared" si="546"/>
        <v>5.1790000000000003</v>
      </c>
      <c r="W179" s="165">
        <f>Sheet!B8/1000</f>
        <v>5.0510000000000002</v>
      </c>
      <c r="X179" s="165">
        <f>W179</f>
        <v>5.0510000000000002</v>
      </c>
      <c r="Y179" s="165">
        <f t="shared" ref="Y179:AJ179" si="550">X179</f>
        <v>5.0510000000000002</v>
      </c>
      <c r="Z179" s="165">
        <f t="shared" si="550"/>
        <v>5.0510000000000002</v>
      </c>
      <c r="AA179" s="166">
        <f t="shared" si="547"/>
        <v>5.0510000000000002</v>
      </c>
      <c r="AB179" s="165">
        <f>Z179</f>
        <v>5.0510000000000002</v>
      </c>
      <c r="AC179" s="165">
        <f t="shared" si="550"/>
        <v>5.0510000000000002</v>
      </c>
      <c r="AD179" s="165">
        <f t="shared" si="550"/>
        <v>5.0510000000000002</v>
      </c>
      <c r="AE179" s="165">
        <f t="shared" si="550"/>
        <v>5.0510000000000002</v>
      </c>
      <c r="AF179" s="166">
        <f t="shared" si="548"/>
        <v>5.0510000000000002</v>
      </c>
      <c r="AG179" s="165">
        <f>AE179</f>
        <v>5.0510000000000002</v>
      </c>
      <c r="AH179" s="165">
        <f t="shared" si="550"/>
        <v>5.0510000000000002</v>
      </c>
      <c r="AI179" s="165">
        <f t="shared" si="550"/>
        <v>5.0510000000000002</v>
      </c>
      <c r="AJ179" s="165">
        <f t="shared" si="550"/>
        <v>5.0510000000000002</v>
      </c>
      <c r="AK179" s="166">
        <f t="shared" si="549"/>
        <v>5.0510000000000002</v>
      </c>
      <c r="AL179" s="166">
        <f>AK179</f>
        <v>5.0510000000000002</v>
      </c>
      <c r="AM179" s="166">
        <f t="shared" ref="AM179:AN179" si="551">AL179</f>
        <v>5.0510000000000002</v>
      </c>
      <c r="AN179" s="166">
        <f t="shared" si="551"/>
        <v>5.0510000000000002</v>
      </c>
    </row>
    <row r="180" spans="1:40" ht="15" customHeight="1" x14ac:dyDescent="0.2">
      <c r="A180" s="121" t="s">
        <v>175</v>
      </c>
      <c r="G180" s="166">
        <f t="shared" si="543"/>
        <v>0</v>
      </c>
      <c r="H180" s="37">
        <v>79.736999999999995</v>
      </c>
      <c r="I180" s="37">
        <v>67.421000000000006</v>
      </c>
      <c r="J180" s="37">
        <v>57.441000000000003</v>
      </c>
      <c r="K180" s="165">
        <v>52.786000000000001</v>
      </c>
      <c r="L180" s="166">
        <f t="shared" si="544"/>
        <v>52.786000000000001</v>
      </c>
      <c r="M180" s="165">
        <v>55.396999999999998</v>
      </c>
      <c r="N180" s="165">
        <v>39.722999999999999</v>
      </c>
      <c r="O180" s="165">
        <v>50.756999999999998</v>
      </c>
      <c r="P180" s="165">
        <v>61.167999999999999</v>
      </c>
      <c r="Q180" s="166">
        <f t="shared" si="545"/>
        <v>61.167999999999999</v>
      </c>
      <c r="R180" s="165">
        <v>52.771000000000001</v>
      </c>
      <c r="S180" s="165">
        <v>45.512999999999998</v>
      </c>
      <c r="T180" s="165">
        <v>49.396000000000001</v>
      </c>
      <c r="U180" s="165">
        <v>74.694999999999993</v>
      </c>
      <c r="V180" s="166">
        <f t="shared" si="546"/>
        <v>74.694999999999993</v>
      </c>
      <c r="W180" s="165">
        <f>Sheet!B9/1000</f>
        <v>84.228999999999999</v>
      </c>
      <c r="X180" s="165">
        <f>X$120*X222</f>
        <v>88.669044855577496</v>
      </c>
      <c r="Y180" s="165">
        <f>Y$120*Y222</f>
        <v>92.919510501637518</v>
      </c>
      <c r="Z180" s="165">
        <f>Z$120*Z222</f>
        <v>95.659074660352331</v>
      </c>
      <c r="AA180" s="166">
        <f t="shared" si="547"/>
        <v>95.659074660352331</v>
      </c>
      <c r="AB180" s="165">
        <f>AB$120*AB222</f>
        <v>96.240513069662825</v>
      </c>
      <c r="AC180" s="165">
        <f>AC$120*AC222</f>
        <v>95.112663124255391</v>
      </c>
      <c r="AD180" s="165">
        <f>AD$120*AD222</f>
        <v>100.87744302041925</v>
      </c>
      <c r="AE180" s="165">
        <f>AE$120*AE222</f>
        <v>101.69104688749253</v>
      </c>
      <c r="AF180" s="166">
        <f t="shared" si="548"/>
        <v>101.69104688749253</v>
      </c>
      <c r="AG180" s="165">
        <f>AG$120*AG222</f>
        <v>103.98932561283105</v>
      </c>
      <c r="AH180" s="165">
        <f>AH$120*AH222</f>
        <v>101.56576785903641</v>
      </c>
      <c r="AI180" s="165">
        <f>AI$120*AI222</f>
        <v>107.31955461526924</v>
      </c>
      <c r="AJ180" s="165">
        <f>AJ$120*AJ222</f>
        <v>107.91277141310523</v>
      </c>
      <c r="AK180" s="166">
        <f t="shared" si="549"/>
        <v>107.91277141310523</v>
      </c>
      <c r="AL180" s="166">
        <f>AL$120*AL222</f>
        <v>111.05751031308165</v>
      </c>
      <c r="AM180" s="166">
        <f t="shared" ref="AM180:AN180" si="552">AM$120*AM222</f>
        <v>114.51672310305568</v>
      </c>
      <c r="AN180" s="166">
        <f t="shared" si="552"/>
        <v>118.32185717202715</v>
      </c>
    </row>
    <row r="181" spans="1:40" ht="15" customHeight="1" x14ac:dyDescent="0.2">
      <c r="A181" s="12" t="s">
        <v>176</v>
      </c>
      <c r="G181" s="168">
        <f t="shared" ref="G181" si="553">SUM(G176:G180)</f>
        <v>0</v>
      </c>
      <c r="H181" s="167">
        <f t="shared" ref="H181:AL181" si="554">SUM(H176:H180)</f>
        <v>1329.1970000000001</v>
      </c>
      <c r="I181" s="167">
        <f t="shared" si="554"/>
        <v>1339.806</v>
      </c>
      <c r="J181" s="167">
        <f t="shared" si="554"/>
        <v>1236.9469999999999</v>
      </c>
      <c r="K181" s="167">
        <f t="shared" si="554"/>
        <v>1210.8649999999998</v>
      </c>
      <c r="L181" s="168">
        <f t="shared" si="554"/>
        <v>1210.8649999999998</v>
      </c>
      <c r="M181" s="167">
        <f t="shared" si="554"/>
        <v>1246.5540000000001</v>
      </c>
      <c r="N181" s="167">
        <f t="shared" si="554"/>
        <v>1368.162</v>
      </c>
      <c r="O181" s="167">
        <f t="shared" si="554"/>
        <v>1443.528</v>
      </c>
      <c r="P181" s="167">
        <f t="shared" si="554"/>
        <v>1464.7229999999997</v>
      </c>
      <c r="Q181" s="168">
        <f t="shared" ref="Q181" si="555">SUM(Q176:Q180)</f>
        <v>1464.7229999999997</v>
      </c>
      <c r="R181" s="167">
        <f t="shared" si="554"/>
        <v>1446.7310000000002</v>
      </c>
      <c r="S181" s="167">
        <f t="shared" si="554"/>
        <v>1331.3899999999999</v>
      </c>
      <c r="T181" s="167">
        <f t="shared" si="554"/>
        <v>1253.7149999999999</v>
      </c>
      <c r="U181" s="167">
        <f t="shared" si="554"/>
        <v>1311.9690000000001</v>
      </c>
      <c r="V181" s="168">
        <f t="shared" si="554"/>
        <v>1311.9690000000001</v>
      </c>
      <c r="W181" s="167">
        <f t="shared" si="554"/>
        <v>1359.502</v>
      </c>
      <c r="X181" s="167">
        <f t="shared" si="554"/>
        <v>1413.3227117251365</v>
      </c>
      <c r="Y181" s="167">
        <f t="shared" si="554"/>
        <v>1461.8056725565227</v>
      </c>
      <c r="Z181" s="167">
        <f t="shared" si="554"/>
        <v>1509.6991661647294</v>
      </c>
      <c r="AA181" s="168">
        <f t="shared" ref="AA181" si="556">SUM(AA176:AA180)</f>
        <v>1509.6991661647294</v>
      </c>
      <c r="AB181" s="167">
        <f t="shared" si="554"/>
        <v>1559.2670788686141</v>
      </c>
      <c r="AC181" s="167">
        <f t="shared" si="554"/>
        <v>1594.6270670205845</v>
      </c>
      <c r="AD181" s="167">
        <f t="shared" si="554"/>
        <v>1667.4444535064606</v>
      </c>
      <c r="AE181" s="167">
        <f t="shared" si="554"/>
        <v>1713.0693359762838</v>
      </c>
      <c r="AF181" s="168">
        <f t="shared" si="554"/>
        <v>1713.0693359762838</v>
      </c>
      <c r="AG181" s="167">
        <f t="shared" si="554"/>
        <v>1776.6289992636134</v>
      </c>
      <c r="AH181" s="167">
        <f t="shared" si="554"/>
        <v>1811.9216788605995</v>
      </c>
      <c r="AI181" s="167">
        <f t="shared" si="554"/>
        <v>1884.0164831385218</v>
      </c>
      <c r="AJ181" s="167">
        <f t="shared" si="554"/>
        <v>1930.5919839337469</v>
      </c>
      <c r="AK181" s="168">
        <f t="shared" ref="AK181" si="557">SUM(AK176:AK180)</f>
        <v>1930.5919839337469</v>
      </c>
      <c r="AL181" s="168">
        <f t="shared" si="554"/>
        <v>2131.7429139212259</v>
      </c>
      <c r="AM181" s="168">
        <f t="shared" ref="AM181:AN181" si="558">SUM(AM176:AM180)</f>
        <v>2332.5414406390814</v>
      </c>
      <c r="AN181" s="168">
        <f t="shared" si="558"/>
        <v>2532.5426561704821</v>
      </c>
    </row>
    <row r="182" spans="1:40" ht="15" customHeight="1" x14ac:dyDescent="0.2">
      <c r="G182" s="166"/>
      <c r="H182" s="37"/>
      <c r="I182" s="37"/>
      <c r="J182" s="37"/>
      <c r="K182" s="165"/>
      <c r="L182" s="166"/>
      <c r="M182" s="165"/>
      <c r="N182" s="165"/>
      <c r="O182" s="165"/>
      <c r="P182" s="165"/>
      <c r="Q182" s="166"/>
      <c r="R182" s="165"/>
      <c r="S182" s="165"/>
      <c r="T182" s="30"/>
      <c r="U182" s="165"/>
      <c r="V182" s="166"/>
      <c r="AA182" s="166"/>
      <c r="AF182" s="166"/>
      <c r="AK182" s="166"/>
      <c r="AL182" s="166"/>
      <c r="AM182" s="166"/>
      <c r="AN182" s="166"/>
    </row>
    <row r="183" spans="1:40" ht="15" customHeight="1" x14ac:dyDescent="0.2">
      <c r="A183" s="121" t="s">
        <v>177</v>
      </c>
      <c r="G183" s="166">
        <f t="shared" ref="G183:G187" si="559">F183</f>
        <v>0</v>
      </c>
      <c r="H183" s="37">
        <v>1033.578</v>
      </c>
      <c r="I183" s="37">
        <v>1019.078</v>
      </c>
      <c r="J183" s="37">
        <v>1008.259</v>
      </c>
      <c r="K183" s="165">
        <v>997.41499999999996</v>
      </c>
      <c r="L183" s="166">
        <f t="shared" ref="L183:L187" si="560">K183</f>
        <v>997.41499999999996</v>
      </c>
      <c r="M183" s="165">
        <v>986.03</v>
      </c>
      <c r="N183" s="165">
        <v>965.20500000000004</v>
      </c>
      <c r="O183" s="165">
        <v>952.8</v>
      </c>
      <c r="P183" s="165">
        <v>950.56899999999996</v>
      </c>
      <c r="Q183" s="166">
        <f t="shared" ref="Q183:Q187" si="561">P183</f>
        <v>950.56899999999996</v>
      </c>
      <c r="R183" s="165">
        <v>934.40300000000002</v>
      </c>
      <c r="S183" s="165">
        <v>923.65099999999995</v>
      </c>
      <c r="T183" s="165">
        <v>913.46799999999996</v>
      </c>
      <c r="U183" s="165">
        <v>910.47199999999998</v>
      </c>
      <c r="V183" s="166">
        <f t="shared" ref="V183:V187" si="562">U183</f>
        <v>910.47199999999998</v>
      </c>
      <c r="W183" s="165">
        <f>Sheet!B11/1000</f>
        <v>921.66499999999996</v>
      </c>
      <c r="X183" s="161">
        <f>W183-(X254*0.7)-(X233*0.7)</f>
        <v>918.10929041074996</v>
      </c>
      <c r="Y183" s="161">
        <f>X183-(Y254*0.7)-(Y233*0.7)</f>
        <v>914.3831332714999</v>
      </c>
      <c r="Z183" s="161">
        <f>Y183-(Z254*0.7)-(Z233*0.7)</f>
        <v>910.54711711024993</v>
      </c>
      <c r="AA183" s="166">
        <f t="shared" ref="AA183:AA187" si="563">Z183</f>
        <v>910.54711711024993</v>
      </c>
      <c r="AB183" s="161">
        <f>Z183-(AB254*0.7)-(AB233*0.7)</f>
        <v>906.68778473835494</v>
      </c>
      <c r="AC183" s="161">
        <f>AB183-(AC254*0.7)-(AC233*0.7)</f>
        <v>902.87368017817994</v>
      </c>
      <c r="AD183" s="161">
        <f>AC183-(AD254*0.7)-(AD233*0.7)</f>
        <v>898.82840268510495</v>
      </c>
      <c r="AE183" s="161">
        <f>AD183-(AE254*0.7)-(AE233*0.7)</f>
        <v>894.75049893472999</v>
      </c>
      <c r="AF183" s="166">
        <f t="shared" ref="AF183:AF187" si="564">AE183</f>
        <v>894.75049893472999</v>
      </c>
      <c r="AG183" s="161">
        <f>AE183-(AG254*0.7)-(AG233*0.7)</f>
        <v>890.58043211080701</v>
      </c>
      <c r="AH183" s="161">
        <f>AG183-(AH254*0.7)-(AH233*0.7)</f>
        <v>886.50755216376206</v>
      </c>
      <c r="AI183" s="161">
        <f>AH183-(AI254*0.7)-(AI233*0.7)</f>
        <v>882.20394011875703</v>
      </c>
      <c r="AJ183" s="161">
        <f>AI183-(AJ254*0.7)-(AJ233*0.7)</f>
        <v>877.87653953898212</v>
      </c>
      <c r="AK183" s="166">
        <f t="shared" ref="AK183:AK187" si="565">AJ183</f>
        <v>877.87653953898212</v>
      </c>
      <c r="AL183" s="166">
        <f>AK183-(AL254*0.7)-(AL233*0.7)</f>
        <v>860.51084783190936</v>
      </c>
      <c r="AM183" s="166">
        <f>AL183-(AM254*0.7)-(AM233*0.7)</f>
        <v>842.60425058237922</v>
      </c>
      <c r="AN183" s="166">
        <f>AM183-(AN254*0.7)-(AN233*0.7)</f>
        <v>824.10265723614611</v>
      </c>
    </row>
    <row r="184" spans="1:40" ht="15" customHeight="1" x14ac:dyDescent="0.2">
      <c r="A184" s="121" t="s">
        <v>178</v>
      </c>
      <c r="G184" s="166">
        <f t="shared" si="559"/>
        <v>0</v>
      </c>
      <c r="H184" s="37">
        <v>795.78099999999995</v>
      </c>
      <c r="I184" s="37">
        <v>792.024</v>
      </c>
      <c r="J184" s="37">
        <v>796.37199999999996</v>
      </c>
      <c r="K184" s="165">
        <v>808.25199999999995</v>
      </c>
      <c r="L184" s="166">
        <f t="shared" si="560"/>
        <v>808.25199999999995</v>
      </c>
      <c r="M184" s="165">
        <v>821.60900000000004</v>
      </c>
      <c r="N184" s="165">
        <v>807.97400000000005</v>
      </c>
      <c r="O184" s="165">
        <v>812.51599999999996</v>
      </c>
      <c r="P184" s="165">
        <v>805.33299999999997</v>
      </c>
      <c r="Q184" s="166">
        <f t="shared" si="561"/>
        <v>805.33299999999997</v>
      </c>
      <c r="R184" s="165">
        <v>800.02200000000005</v>
      </c>
      <c r="S184" s="165">
        <v>796.02800000000002</v>
      </c>
      <c r="T184" s="165">
        <v>779.14400000000001</v>
      </c>
      <c r="U184" s="165">
        <v>772.55899999999997</v>
      </c>
      <c r="V184" s="166">
        <f t="shared" si="562"/>
        <v>772.55899999999997</v>
      </c>
      <c r="W184" s="165">
        <f>Sheet!B12/1000</f>
        <v>793.92</v>
      </c>
      <c r="X184" s="153">
        <f>W184</f>
        <v>793.92</v>
      </c>
      <c r="Y184" s="153">
        <f t="shared" ref="Y184:AJ184" si="566">X184</f>
        <v>793.92</v>
      </c>
      <c r="Z184" s="153">
        <f t="shared" si="566"/>
        <v>793.92</v>
      </c>
      <c r="AA184" s="166">
        <f t="shared" si="563"/>
        <v>793.92</v>
      </c>
      <c r="AB184" s="153">
        <f>Z184</f>
        <v>793.92</v>
      </c>
      <c r="AC184" s="153">
        <f t="shared" si="566"/>
        <v>793.92</v>
      </c>
      <c r="AD184" s="153">
        <f t="shared" si="566"/>
        <v>793.92</v>
      </c>
      <c r="AE184" s="153">
        <f t="shared" si="566"/>
        <v>793.92</v>
      </c>
      <c r="AF184" s="166">
        <f t="shared" si="564"/>
        <v>793.92</v>
      </c>
      <c r="AG184" s="153">
        <f>AE184</f>
        <v>793.92</v>
      </c>
      <c r="AH184" s="153">
        <f t="shared" si="566"/>
        <v>793.92</v>
      </c>
      <c r="AI184" s="153">
        <f t="shared" si="566"/>
        <v>793.92</v>
      </c>
      <c r="AJ184" s="153">
        <f t="shared" si="566"/>
        <v>793.92</v>
      </c>
      <c r="AK184" s="166">
        <f t="shared" si="565"/>
        <v>793.92</v>
      </c>
      <c r="AL184" s="166">
        <f>AK184</f>
        <v>793.92</v>
      </c>
      <c r="AM184" s="166">
        <f t="shared" ref="AM184:AN184" si="567">AL184</f>
        <v>793.92</v>
      </c>
      <c r="AN184" s="166">
        <f t="shared" si="567"/>
        <v>793.92</v>
      </c>
    </row>
    <row r="185" spans="1:40" ht="15" customHeight="1" x14ac:dyDescent="0.2">
      <c r="A185" s="121" t="s">
        <v>179</v>
      </c>
      <c r="G185" s="166">
        <f t="shared" si="559"/>
        <v>0</v>
      </c>
      <c r="H185" s="37">
        <v>613.13499999999999</v>
      </c>
      <c r="I185" s="37">
        <v>596.19000000000005</v>
      </c>
      <c r="J185" s="37">
        <v>595.15800000000002</v>
      </c>
      <c r="K185" s="165">
        <v>606.71100000000001</v>
      </c>
      <c r="L185" s="166">
        <f t="shared" si="560"/>
        <v>606.71100000000001</v>
      </c>
      <c r="M185" s="165">
        <v>619.721</v>
      </c>
      <c r="N185" s="165">
        <v>584.94799999999998</v>
      </c>
      <c r="O185" s="165">
        <v>582.21299999999997</v>
      </c>
      <c r="P185" s="165">
        <v>559.28899999999999</v>
      </c>
      <c r="Q185" s="166">
        <f t="shared" si="561"/>
        <v>559.28899999999999</v>
      </c>
      <c r="R185" s="165">
        <v>538.78200000000004</v>
      </c>
      <c r="S185" s="165">
        <v>522.50199999999995</v>
      </c>
      <c r="T185" s="165">
        <v>484.86700000000002</v>
      </c>
      <c r="U185" s="165">
        <v>460.58</v>
      </c>
      <c r="V185" s="166">
        <f t="shared" si="562"/>
        <v>460.58</v>
      </c>
      <c r="W185" s="165">
        <f>Sheet!B13/1000</f>
        <v>485.64400000000001</v>
      </c>
      <c r="X185" s="161">
        <f>W185-(X254*0.3)-(X233*0.3)</f>
        <v>484.12012446175004</v>
      </c>
      <c r="Y185" s="161">
        <f>X185-(Y254*0.3)-(Y233*0.3)</f>
        <v>482.52319997350003</v>
      </c>
      <c r="Z185" s="161">
        <f>Y185-(Z254*0.3)-(Z233*0.3)</f>
        <v>480.87919304725</v>
      </c>
      <c r="AA185" s="166">
        <f t="shared" si="563"/>
        <v>480.87919304725</v>
      </c>
      <c r="AB185" s="161">
        <f>Z185-(AB254*0.3)-(AB233*0.3)</f>
        <v>479.22519345929499</v>
      </c>
      <c r="AC185" s="161">
        <f>AB185-(AC254*0.3)-(AC233*0.3)</f>
        <v>477.59057721921999</v>
      </c>
      <c r="AD185" s="161">
        <f>AC185-(AD254*0.3)-(AD233*0.3)</f>
        <v>475.856886865045</v>
      </c>
      <c r="AE185" s="161">
        <f>AD185-(AE254*0.3)-(AE233*0.3)</f>
        <v>474.10921382917002</v>
      </c>
      <c r="AF185" s="166">
        <f t="shared" si="564"/>
        <v>474.10921382917002</v>
      </c>
      <c r="AG185" s="161">
        <f>AE185-(AG254*0.3)-(AG233*0.3)</f>
        <v>472.32204233320306</v>
      </c>
      <c r="AH185" s="161">
        <f>AG185-(AH254*0.3)-(AH233*0.3)</f>
        <v>470.57652235589808</v>
      </c>
      <c r="AI185" s="161">
        <f>AH185-(AI254*0.3)-(AI233*0.3)</f>
        <v>468.73211719375303</v>
      </c>
      <c r="AJ185" s="161">
        <f>AI185-(AJ254*0.3)-(AJ233*0.3)</f>
        <v>466.87751694527805</v>
      </c>
      <c r="AK185" s="166">
        <f t="shared" si="565"/>
        <v>466.87751694527805</v>
      </c>
      <c r="AL185" s="166">
        <f>AK185-(AL254*0.3)-(AL233*0.3)</f>
        <v>459.43507764224682</v>
      </c>
      <c r="AM185" s="166">
        <f>AL185-(AM254*0.3)-(AM233*0.3)</f>
        <v>451.76082167816253</v>
      </c>
      <c r="AN185" s="166">
        <f>AM185-(AN254*0.3)-(AN233*0.3)</f>
        <v>443.8315673869198</v>
      </c>
    </row>
    <row r="186" spans="1:40" ht="15" customHeight="1" x14ac:dyDescent="0.2">
      <c r="A186" s="121" t="s">
        <v>180</v>
      </c>
      <c r="G186" s="166">
        <f t="shared" si="559"/>
        <v>0</v>
      </c>
      <c r="H186" s="37">
        <v>18.315000000000001</v>
      </c>
      <c r="I186" s="37">
        <v>0</v>
      </c>
      <c r="J186" s="37">
        <v>18.315000000000001</v>
      </c>
      <c r="K186" s="165">
        <v>14.657999999999999</v>
      </c>
      <c r="L186" s="166">
        <f t="shared" si="560"/>
        <v>14.657999999999999</v>
      </c>
      <c r="M186" s="165">
        <v>13.97</v>
      </c>
      <c r="N186" s="165">
        <v>14.872999999999999</v>
      </c>
      <c r="O186" s="165">
        <v>14.582000000000001</v>
      </c>
      <c r="P186" s="165">
        <v>14.066000000000001</v>
      </c>
      <c r="Q186" s="166">
        <f t="shared" si="561"/>
        <v>14.066000000000001</v>
      </c>
      <c r="R186" s="165">
        <v>13.97</v>
      </c>
      <c r="S186" s="165">
        <v>13.798</v>
      </c>
      <c r="T186" s="165">
        <v>13.481</v>
      </c>
      <c r="U186" s="165">
        <v>23.446999999999999</v>
      </c>
      <c r="V186" s="166">
        <f t="shared" si="562"/>
        <v>23.446999999999999</v>
      </c>
      <c r="W186" s="165">
        <f>Sheet!B14/1000</f>
        <v>24.849</v>
      </c>
      <c r="X186" s="153">
        <f>W186</f>
        <v>24.849</v>
      </c>
      <c r="Y186" s="153">
        <f t="shared" ref="Y186:AJ187" si="568">X186</f>
        <v>24.849</v>
      </c>
      <c r="Z186" s="153">
        <f t="shared" si="568"/>
        <v>24.849</v>
      </c>
      <c r="AA186" s="166">
        <f t="shared" si="563"/>
        <v>24.849</v>
      </c>
      <c r="AB186" s="153">
        <f>Z186</f>
        <v>24.849</v>
      </c>
      <c r="AC186" s="153">
        <f t="shared" si="568"/>
        <v>24.849</v>
      </c>
      <c r="AD186" s="153">
        <f t="shared" si="568"/>
        <v>24.849</v>
      </c>
      <c r="AE186" s="153">
        <f t="shared" si="568"/>
        <v>24.849</v>
      </c>
      <c r="AF186" s="166">
        <f t="shared" si="564"/>
        <v>24.849</v>
      </c>
      <c r="AG186" s="153">
        <f>AE186</f>
        <v>24.849</v>
      </c>
      <c r="AH186" s="153">
        <f t="shared" si="568"/>
        <v>24.849</v>
      </c>
      <c r="AI186" s="153">
        <f t="shared" si="568"/>
        <v>24.849</v>
      </c>
      <c r="AJ186" s="153">
        <f t="shared" si="568"/>
        <v>24.849</v>
      </c>
      <c r="AK186" s="166">
        <f t="shared" si="565"/>
        <v>24.849</v>
      </c>
      <c r="AL186" s="166">
        <f>AK186</f>
        <v>24.849</v>
      </c>
      <c r="AM186" s="166">
        <f t="shared" ref="AM186:AN186" si="569">AL186</f>
        <v>24.849</v>
      </c>
      <c r="AN186" s="166">
        <f t="shared" si="569"/>
        <v>24.849</v>
      </c>
    </row>
    <row r="187" spans="1:40" ht="15" customHeight="1" x14ac:dyDescent="0.2">
      <c r="A187" s="121" t="s">
        <v>181</v>
      </c>
      <c r="G187" s="166">
        <f t="shared" si="559"/>
        <v>0</v>
      </c>
      <c r="H187" s="37">
        <v>217.16300000000001</v>
      </c>
      <c r="I187" s="37">
        <f>17.905+295.273</f>
        <v>313.178</v>
      </c>
      <c r="J187" s="37">
        <v>251.61799999999999</v>
      </c>
      <c r="K187" s="165">
        <v>265.435</v>
      </c>
      <c r="L187" s="166">
        <f t="shared" si="560"/>
        <v>265.435</v>
      </c>
      <c r="M187" s="165">
        <v>271.62099999999998</v>
      </c>
      <c r="N187" s="165">
        <v>279.61</v>
      </c>
      <c r="O187" s="165">
        <v>283.01600000000002</v>
      </c>
      <c r="P187" s="165">
        <v>297.024</v>
      </c>
      <c r="Q187" s="166">
        <f t="shared" si="561"/>
        <v>297.024</v>
      </c>
      <c r="R187" s="165">
        <v>301.33199999999999</v>
      </c>
      <c r="S187" s="165">
        <v>303.17500000000001</v>
      </c>
      <c r="T187" s="165">
        <v>311.11399999999998</v>
      </c>
      <c r="U187" s="165">
        <v>327.41899999999998</v>
      </c>
      <c r="V187" s="166">
        <f t="shared" si="562"/>
        <v>327.41899999999998</v>
      </c>
      <c r="W187" s="165">
        <f>Sheet!B15/1000</f>
        <v>309.22800000000001</v>
      </c>
      <c r="X187" s="153">
        <f>W187</f>
        <v>309.22800000000001</v>
      </c>
      <c r="Y187" s="153">
        <f t="shared" si="568"/>
        <v>309.22800000000001</v>
      </c>
      <c r="Z187" s="153">
        <f t="shared" si="568"/>
        <v>309.22800000000001</v>
      </c>
      <c r="AA187" s="166">
        <f t="shared" si="563"/>
        <v>309.22800000000001</v>
      </c>
      <c r="AB187" s="153">
        <f>Z187</f>
        <v>309.22800000000001</v>
      </c>
      <c r="AC187" s="153">
        <f t="shared" si="568"/>
        <v>309.22800000000001</v>
      </c>
      <c r="AD187" s="153">
        <f t="shared" si="568"/>
        <v>309.22800000000001</v>
      </c>
      <c r="AE187" s="153">
        <f t="shared" si="568"/>
        <v>309.22800000000001</v>
      </c>
      <c r="AF187" s="166">
        <f t="shared" si="564"/>
        <v>309.22800000000001</v>
      </c>
      <c r="AG187" s="153">
        <f>AE187</f>
        <v>309.22800000000001</v>
      </c>
      <c r="AH187" s="153">
        <f t="shared" si="568"/>
        <v>309.22800000000001</v>
      </c>
      <c r="AI187" s="153">
        <f t="shared" si="568"/>
        <v>309.22800000000001</v>
      </c>
      <c r="AJ187" s="153">
        <f t="shared" si="568"/>
        <v>309.22800000000001</v>
      </c>
      <c r="AK187" s="166">
        <f t="shared" si="565"/>
        <v>309.22800000000001</v>
      </c>
      <c r="AL187" s="166">
        <f>AK187</f>
        <v>309.22800000000001</v>
      </c>
      <c r="AM187" s="166">
        <f t="shared" ref="AM187:AN187" si="570">AL187</f>
        <v>309.22800000000001</v>
      </c>
      <c r="AN187" s="166">
        <f t="shared" si="570"/>
        <v>309.22800000000001</v>
      </c>
    </row>
    <row r="188" spans="1:40" ht="15" customHeight="1" x14ac:dyDescent="0.2">
      <c r="A188" s="12" t="s">
        <v>182</v>
      </c>
      <c r="G188" s="168">
        <f>SUM(G183:G187)</f>
        <v>0</v>
      </c>
      <c r="H188" s="167">
        <f t="shared" ref="H188:AL188" si="571">SUM(H183:H187)</f>
        <v>2677.9719999999998</v>
      </c>
      <c r="I188" s="167">
        <f t="shared" si="571"/>
        <v>2720.47</v>
      </c>
      <c r="J188" s="167">
        <f t="shared" si="571"/>
        <v>2669.7219999999998</v>
      </c>
      <c r="K188" s="167">
        <f t="shared" si="571"/>
        <v>2692.4709999999995</v>
      </c>
      <c r="L188" s="168">
        <f>SUM(L183:L187)</f>
        <v>2692.4709999999995</v>
      </c>
      <c r="M188" s="167">
        <f t="shared" si="571"/>
        <v>2712.951</v>
      </c>
      <c r="N188" s="167">
        <f t="shared" si="571"/>
        <v>2652.61</v>
      </c>
      <c r="O188" s="167">
        <f t="shared" si="571"/>
        <v>2645.1269999999995</v>
      </c>
      <c r="P188" s="167">
        <f t="shared" si="571"/>
        <v>2626.2809999999995</v>
      </c>
      <c r="Q188" s="168">
        <f>SUM(Q183:Q187)</f>
        <v>2626.2809999999995</v>
      </c>
      <c r="R188" s="167">
        <f t="shared" si="571"/>
        <v>2588.509</v>
      </c>
      <c r="S188" s="167">
        <f t="shared" si="571"/>
        <v>2559.154</v>
      </c>
      <c r="T188" s="167">
        <f t="shared" si="571"/>
        <v>2502.0740000000005</v>
      </c>
      <c r="U188" s="167">
        <f t="shared" si="571"/>
        <v>2494.4769999999999</v>
      </c>
      <c r="V188" s="168">
        <f>SUM(V183:V187)</f>
        <v>2494.4769999999999</v>
      </c>
      <c r="W188" s="167">
        <f t="shared" si="571"/>
        <v>2535.3060000000005</v>
      </c>
      <c r="X188" s="167">
        <f t="shared" si="571"/>
        <v>2530.2264148725003</v>
      </c>
      <c r="Y188" s="167">
        <f t="shared" si="571"/>
        <v>2524.9033332450003</v>
      </c>
      <c r="Z188" s="167">
        <f t="shared" si="571"/>
        <v>2519.4233101575001</v>
      </c>
      <c r="AA188" s="168">
        <f>SUM(AA183:AA187)</f>
        <v>2519.4233101575001</v>
      </c>
      <c r="AB188" s="167">
        <f t="shared" si="571"/>
        <v>2513.9099781976502</v>
      </c>
      <c r="AC188" s="167">
        <f t="shared" si="571"/>
        <v>2508.4612573974</v>
      </c>
      <c r="AD188" s="167">
        <f t="shared" si="571"/>
        <v>2502.68228955015</v>
      </c>
      <c r="AE188" s="167">
        <f t="shared" si="571"/>
        <v>2496.8567127639003</v>
      </c>
      <c r="AF188" s="168">
        <f>SUM(AF183:AF187)</f>
        <v>2496.8567127639003</v>
      </c>
      <c r="AG188" s="167">
        <f t="shared" si="571"/>
        <v>2490.8994744440101</v>
      </c>
      <c r="AH188" s="167">
        <f t="shared" si="571"/>
        <v>2485.0810745196604</v>
      </c>
      <c r="AI188" s="167">
        <f t="shared" si="571"/>
        <v>2478.9330573125103</v>
      </c>
      <c r="AJ188" s="167">
        <f t="shared" si="571"/>
        <v>2472.7510564842601</v>
      </c>
      <c r="AK188" s="168">
        <f>SUM(AK183:AK187)</f>
        <v>2472.7510564842601</v>
      </c>
      <c r="AL188" s="168">
        <f t="shared" si="571"/>
        <v>2447.9429254741563</v>
      </c>
      <c r="AM188" s="168">
        <f t="shared" ref="AM188:AN188" si="572">SUM(AM183:AM187)</f>
        <v>2422.3620722605419</v>
      </c>
      <c r="AN188" s="168">
        <f t="shared" si="572"/>
        <v>2395.9312246230661</v>
      </c>
    </row>
    <row r="189" spans="1:40" ht="15" customHeight="1" x14ac:dyDescent="0.2">
      <c r="G189" s="166"/>
      <c r="H189" s="37"/>
      <c r="I189" s="37"/>
      <c r="J189" s="165"/>
      <c r="K189" s="165"/>
      <c r="L189" s="166"/>
      <c r="M189" s="165"/>
      <c r="N189" s="165"/>
      <c r="O189" s="165"/>
      <c r="P189" s="165"/>
      <c r="Q189" s="166"/>
      <c r="R189" s="165"/>
      <c r="S189" s="165"/>
      <c r="T189" s="165"/>
      <c r="U189" s="165"/>
      <c r="V189" s="166"/>
      <c r="AA189" s="166"/>
      <c r="AF189" s="166"/>
      <c r="AK189" s="166"/>
      <c r="AL189" s="166"/>
      <c r="AM189" s="166"/>
      <c r="AN189" s="166"/>
    </row>
    <row r="190" spans="1:40" ht="15" customHeight="1" thickBot="1" x14ac:dyDescent="0.25">
      <c r="A190" s="29" t="s">
        <v>24</v>
      </c>
      <c r="G190" s="170">
        <f t="shared" ref="G190" si="573">G188+G181</f>
        <v>0</v>
      </c>
      <c r="H190" s="169">
        <f t="shared" ref="H190:AL190" si="574">H188+H181</f>
        <v>4007.1689999999999</v>
      </c>
      <c r="I190" s="169">
        <f t="shared" si="574"/>
        <v>4060.2759999999998</v>
      </c>
      <c r="J190" s="169">
        <f t="shared" si="574"/>
        <v>3906.6689999999999</v>
      </c>
      <c r="K190" s="169">
        <f t="shared" si="574"/>
        <v>3903.3359999999993</v>
      </c>
      <c r="L190" s="170">
        <f t="shared" si="574"/>
        <v>3903.3359999999993</v>
      </c>
      <c r="M190" s="169">
        <f t="shared" si="574"/>
        <v>3959.5050000000001</v>
      </c>
      <c r="N190" s="169">
        <f t="shared" si="574"/>
        <v>4020.7719999999999</v>
      </c>
      <c r="O190" s="169">
        <f t="shared" si="574"/>
        <v>4088.6549999999997</v>
      </c>
      <c r="P190" s="169">
        <f t="shared" si="574"/>
        <v>4091.003999999999</v>
      </c>
      <c r="Q190" s="170">
        <f t="shared" ref="Q190" si="575">Q188+Q181</f>
        <v>4091.003999999999</v>
      </c>
      <c r="R190" s="169">
        <f t="shared" si="574"/>
        <v>4035.2400000000002</v>
      </c>
      <c r="S190" s="169">
        <f t="shared" si="574"/>
        <v>3890.5439999999999</v>
      </c>
      <c r="T190" s="169">
        <f t="shared" si="574"/>
        <v>3755.7890000000007</v>
      </c>
      <c r="U190" s="169">
        <f t="shared" si="574"/>
        <v>3806.4459999999999</v>
      </c>
      <c r="V190" s="170">
        <f t="shared" si="574"/>
        <v>3806.4459999999999</v>
      </c>
      <c r="W190" s="169">
        <f t="shared" si="574"/>
        <v>3894.8080000000004</v>
      </c>
      <c r="X190" s="169">
        <f t="shared" si="574"/>
        <v>3943.549126597637</v>
      </c>
      <c r="Y190" s="169">
        <f t="shared" si="574"/>
        <v>3986.7090058015228</v>
      </c>
      <c r="Z190" s="169">
        <f t="shared" si="574"/>
        <v>4029.1224763222294</v>
      </c>
      <c r="AA190" s="170">
        <f t="shared" ref="AA190" si="576">AA188+AA181</f>
        <v>4029.1224763222294</v>
      </c>
      <c r="AB190" s="169">
        <f t="shared" si="574"/>
        <v>4073.1770570662643</v>
      </c>
      <c r="AC190" s="169">
        <f t="shared" si="574"/>
        <v>4103.088324417984</v>
      </c>
      <c r="AD190" s="169">
        <f t="shared" si="574"/>
        <v>4170.1267430566104</v>
      </c>
      <c r="AE190" s="169">
        <f t="shared" si="574"/>
        <v>4209.9260487401843</v>
      </c>
      <c r="AF190" s="170">
        <f t="shared" si="574"/>
        <v>4209.9260487401843</v>
      </c>
      <c r="AG190" s="169">
        <f t="shared" si="574"/>
        <v>4267.5284737076236</v>
      </c>
      <c r="AH190" s="169">
        <f t="shared" si="574"/>
        <v>4297.0027533802604</v>
      </c>
      <c r="AI190" s="169">
        <f t="shared" si="574"/>
        <v>4362.9495404510326</v>
      </c>
      <c r="AJ190" s="169">
        <f t="shared" si="574"/>
        <v>4403.3430404180071</v>
      </c>
      <c r="AK190" s="170">
        <f t="shared" ref="AK190" si="577">AK188+AK181</f>
        <v>4403.3430404180071</v>
      </c>
      <c r="AL190" s="170">
        <f t="shared" si="574"/>
        <v>4579.6858393953826</v>
      </c>
      <c r="AM190" s="170">
        <f t="shared" ref="AM190:AN190" si="578">AM188+AM181</f>
        <v>4754.9035128996238</v>
      </c>
      <c r="AN190" s="170">
        <f t="shared" si="578"/>
        <v>4928.4738807935482</v>
      </c>
    </row>
    <row r="191" spans="1:40" ht="15" customHeight="1" thickTop="1" x14ac:dyDescent="0.2">
      <c r="G191" s="146"/>
      <c r="H191" s="38"/>
      <c r="I191" s="38"/>
      <c r="J191" s="38"/>
      <c r="K191" s="38"/>
      <c r="L191" s="146"/>
      <c r="M191" s="171"/>
      <c r="N191" s="171"/>
      <c r="O191" s="171"/>
      <c r="P191" s="171"/>
      <c r="Q191" s="146"/>
      <c r="R191" s="171"/>
      <c r="S191" s="28"/>
      <c r="T191" s="28"/>
      <c r="U191" s="171"/>
      <c r="V191" s="146"/>
      <c r="AA191" s="146"/>
      <c r="AF191" s="146"/>
      <c r="AK191" s="146"/>
      <c r="AL191" s="146"/>
      <c r="AM191" s="146"/>
      <c r="AN191" s="146"/>
    </row>
    <row r="192" spans="1:40" ht="15" customHeight="1" x14ac:dyDescent="0.2">
      <c r="A192" s="121" t="s">
        <v>183</v>
      </c>
      <c r="G192" s="166">
        <f>F192</f>
        <v>0</v>
      </c>
      <c r="H192" s="37">
        <f>283.168+101.598</f>
        <v>384.76600000000002</v>
      </c>
      <c r="I192" s="37">
        <f>100+101.643</f>
        <v>201.643</v>
      </c>
      <c r="J192" s="37">
        <f>98.639+101.643</f>
        <v>200.28199999999998</v>
      </c>
      <c r="K192" s="165">
        <v>101.634</v>
      </c>
      <c r="L192" s="166">
        <f>K192</f>
        <v>101.634</v>
      </c>
      <c r="M192" s="165">
        <v>1.623</v>
      </c>
      <c r="N192" s="165">
        <v>1.3979999999999999</v>
      </c>
      <c r="O192" s="165">
        <v>1.05</v>
      </c>
      <c r="P192" s="165">
        <v>0.72799999999999998</v>
      </c>
      <c r="Q192" s="166">
        <f>P192</f>
        <v>0.72799999999999998</v>
      </c>
      <c r="R192" s="165">
        <v>0.42399999999999999</v>
      </c>
      <c r="S192" s="165">
        <v>0.45900000000000002</v>
      </c>
      <c r="T192" s="165">
        <f>49.2+0.458</f>
        <v>49.658000000000001</v>
      </c>
      <c r="U192" s="165">
        <f>66.8+0.856</f>
        <v>67.655999999999992</v>
      </c>
      <c r="V192" s="166">
        <f>U192</f>
        <v>67.655999999999992</v>
      </c>
      <c r="W192" s="165">
        <f>(Sheet!B19+Sheet!B20)/1000</f>
        <v>185.327</v>
      </c>
      <c r="X192" s="165">
        <f>W192</f>
        <v>185.327</v>
      </c>
      <c r="Y192" s="165">
        <f t="shared" ref="Y192:AJ192" si="579">X192</f>
        <v>185.327</v>
      </c>
      <c r="Z192" s="165">
        <f t="shared" si="579"/>
        <v>185.327</v>
      </c>
      <c r="AA192" s="166">
        <f>Z192</f>
        <v>185.327</v>
      </c>
      <c r="AB192" s="165">
        <f>Z192</f>
        <v>185.327</v>
      </c>
      <c r="AC192" s="165">
        <f t="shared" si="579"/>
        <v>185.327</v>
      </c>
      <c r="AD192" s="165">
        <f t="shared" si="579"/>
        <v>185.327</v>
      </c>
      <c r="AE192" s="165">
        <f t="shared" si="579"/>
        <v>185.327</v>
      </c>
      <c r="AF192" s="166">
        <f>AE192</f>
        <v>185.327</v>
      </c>
      <c r="AG192" s="165">
        <f>AE192</f>
        <v>185.327</v>
      </c>
      <c r="AH192" s="165">
        <f t="shared" si="579"/>
        <v>185.327</v>
      </c>
      <c r="AI192" s="165">
        <f t="shared" si="579"/>
        <v>185.327</v>
      </c>
      <c r="AJ192" s="165">
        <f t="shared" si="579"/>
        <v>185.327</v>
      </c>
      <c r="AK192" s="166">
        <f>AJ192</f>
        <v>185.327</v>
      </c>
      <c r="AL192" s="166">
        <f>AK192</f>
        <v>185.327</v>
      </c>
      <c r="AM192" s="166">
        <f t="shared" ref="AM192:AN192" si="580">AL192</f>
        <v>185.327</v>
      </c>
      <c r="AN192" s="166">
        <f t="shared" si="580"/>
        <v>185.327</v>
      </c>
    </row>
    <row r="193" spans="1:40" ht="15" customHeight="1" x14ac:dyDescent="0.2">
      <c r="A193" s="121" t="s">
        <v>184</v>
      </c>
      <c r="G193" s="166">
        <f t="shared" ref="G193:G195" si="581">F193</f>
        <v>0</v>
      </c>
      <c r="H193" s="37">
        <v>218.48599999999999</v>
      </c>
      <c r="I193" s="37">
        <v>218.721</v>
      </c>
      <c r="J193" s="37">
        <v>160.887</v>
      </c>
      <c r="K193" s="165">
        <v>134.24199999999999</v>
      </c>
      <c r="L193" s="166">
        <f t="shared" ref="L193:L195" si="582">K193</f>
        <v>134.24199999999999</v>
      </c>
      <c r="M193" s="165">
        <v>158.56800000000001</v>
      </c>
      <c r="N193" s="165">
        <v>162.715</v>
      </c>
      <c r="O193" s="165">
        <v>163.24799999999999</v>
      </c>
      <c r="P193" s="165">
        <v>170.90899999999999</v>
      </c>
      <c r="Q193" s="166">
        <f t="shared" ref="Q193:Q195" si="583">P193</f>
        <v>170.90899999999999</v>
      </c>
      <c r="R193" s="165">
        <v>165.86699999999999</v>
      </c>
      <c r="S193" s="165">
        <v>188.54300000000001</v>
      </c>
      <c r="T193" s="165">
        <v>195.40199999999999</v>
      </c>
      <c r="U193" s="165">
        <v>230.51900000000001</v>
      </c>
      <c r="V193" s="166">
        <f t="shared" ref="V193:V195" si="584">U193</f>
        <v>230.51900000000001</v>
      </c>
      <c r="W193" s="165">
        <f>Sheet!B21/1000</f>
        <v>219.36500000000001</v>
      </c>
      <c r="X193" s="165">
        <f>X223*X$120/(X$8-W$8)</f>
        <v>242.0617985211091</v>
      </c>
      <c r="Y193" s="165">
        <f>Y223*Y$120/(Y$8-X$8)</f>
        <v>250.87781346429588</v>
      </c>
      <c r="Z193" s="165">
        <f>Z223*Z$120/(Z$8-Y$8)</f>
        <v>255.46716181183407</v>
      </c>
      <c r="AA193" s="166">
        <f t="shared" ref="AA193:AA195" si="585">Z193</f>
        <v>255.46716181183407</v>
      </c>
      <c r="AB193" s="165">
        <f>AB223*AB$120/(AB$8-Z$8)</f>
        <v>257.01995145277868</v>
      </c>
      <c r="AC193" s="165">
        <f>AC223*AC$120/(AC$8-AB$8)</f>
        <v>256.79921072075427</v>
      </c>
      <c r="AD193" s="165">
        <f>AD223*AD$120/(AD$8-AC$8)</f>
        <v>272.36381461981415</v>
      </c>
      <c r="AE193" s="165">
        <f>AE223*AE$120/(AE$8-AD$8)</f>
        <v>271.57614917624977</v>
      </c>
      <c r="AF193" s="166">
        <f t="shared" ref="AF193:AF195" si="586">AE193</f>
        <v>271.57614917624977</v>
      </c>
      <c r="AG193" s="165">
        <f>AG223*AG$120/(AG$8-AE$8)</f>
        <v>277.71393322966486</v>
      </c>
      <c r="AH193" s="165">
        <f>AH223*AH$120/(AH$8-AG$8)</f>
        <v>277.26916959779726</v>
      </c>
      <c r="AI193" s="165">
        <f>AI223*AI$120/(AI$8-AH$8)</f>
        <v>289.75717864297559</v>
      </c>
      <c r="AJ193" s="165">
        <f>AJ223*AJ$120/(AJ$8-AI$8)</f>
        <v>288.19188910240797</v>
      </c>
      <c r="AK193" s="166">
        <f t="shared" ref="AK193:AK195" si="587">AJ193</f>
        <v>288.19188910240797</v>
      </c>
      <c r="AL193" s="166">
        <f>AL223*AL120/365</f>
        <v>296.59023002582506</v>
      </c>
      <c r="AM193" s="166">
        <f>AM223*AM120/365</f>
        <v>305.82840504158372</v>
      </c>
      <c r="AN193" s="166">
        <f>AN223*AN120/365</f>
        <v>315.99039755891835</v>
      </c>
    </row>
    <row r="194" spans="1:40" ht="15" customHeight="1" x14ac:dyDescent="0.2">
      <c r="A194" s="121" t="s">
        <v>185</v>
      </c>
      <c r="G194" s="166">
        <f t="shared" si="581"/>
        <v>0</v>
      </c>
      <c r="H194" s="37">
        <v>20.704000000000001</v>
      </c>
      <c r="I194" s="37">
        <v>19.911000000000001</v>
      </c>
      <c r="J194" s="37">
        <v>12.164</v>
      </c>
      <c r="K194" s="165">
        <v>4.6619999999999999</v>
      </c>
      <c r="L194" s="166">
        <f t="shared" si="582"/>
        <v>4.6619999999999999</v>
      </c>
      <c r="M194" s="165">
        <v>11.987</v>
      </c>
      <c r="N194" s="165">
        <v>12.945</v>
      </c>
      <c r="O194" s="165">
        <v>12.699</v>
      </c>
      <c r="P194" s="165">
        <v>11.481</v>
      </c>
      <c r="Q194" s="166">
        <f t="shared" si="583"/>
        <v>11.481</v>
      </c>
      <c r="R194" s="165">
        <v>17.004000000000001</v>
      </c>
      <c r="S194" s="165">
        <v>17.701000000000001</v>
      </c>
      <c r="T194" s="165">
        <v>18.713000000000001</v>
      </c>
      <c r="U194" s="165">
        <v>34.655000000000001</v>
      </c>
      <c r="V194" s="166">
        <f t="shared" si="584"/>
        <v>34.655000000000001</v>
      </c>
      <c r="W194" s="165">
        <f>Sheet!B22/1000</f>
        <v>37.085999999999999</v>
      </c>
      <c r="X194" s="165">
        <f>W194</f>
        <v>37.085999999999999</v>
      </c>
      <c r="Y194" s="165">
        <f t="shared" ref="Y194:AJ194" si="588">X194</f>
        <v>37.085999999999999</v>
      </c>
      <c r="Z194" s="165">
        <f t="shared" si="588"/>
        <v>37.085999999999999</v>
      </c>
      <c r="AA194" s="166">
        <f t="shared" si="585"/>
        <v>37.085999999999999</v>
      </c>
      <c r="AB194" s="165">
        <f>Z194</f>
        <v>37.085999999999999</v>
      </c>
      <c r="AC194" s="165">
        <f t="shared" si="588"/>
        <v>37.085999999999999</v>
      </c>
      <c r="AD194" s="165">
        <f t="shared" si="588"/>
        <v>37.085999999999999</v>
      </c>
      <c r="AE194" s="165">
        <f t="shared" si="588"/>
        <v>37.085999999999999</v>
      </c>
      <c r="AF194" s="166">
        <f t="shared" si="586"/>
        <v>37.085999999999999</v>
      </c>
      <c r="AG194" s="165">
        <f>AE194</f>
        <v>37.085999999999999</v>
      </c>
      <c r="AH194" s="165">
        <f t="shared" si="588"/>
        <v>37.085999999999999</v>
      </c>
      <c r="AI194" s="165">
        <f t="shared" si="588"/>
        <v>37.085999999999999</v>
      </c>
      <c r="AJ194" s="165">
        <f t="shared" si="588"/>
        <v>37.085999999999999</v>
      </c>
      <c r="AK194" s="166">
        <f t="shared" si="587"/>
        <v>37.085999999999999</v>
      </c>
      <c r="AL194" s="166">
        <f>AK194</f>
        <v>37.085999999999999</v>
      </c>
      <c r="AM194" s="166">
        <f t="shared" ref="AM194:AN194" si="589">AL194</f>
        <v>37.085999999999999</v>
      </c>
      <c r="AN194" s="166">
        <f t="shared" si="589"/>
        <v>37.085999999999999</v>
      </c>
    </row>
    <row r="195" spans="1:40" ht="15" customHeight="1" x14ac:dyDescent="0.2">
      <c r="A195" s="121" t="s">
        <v>186</v>
      </c>
      <c r="G195" s="166">
        <f t="shared" si="581"/>
        <v>0</v>
      </c>
      <c r="H195" s="37">
        <v>168.089</v>
      </c>
      <c r="I195" s="37">
        <v>154.559</v>
      </c>
      <c r="J195" s="37">
        <v>162.29499999999999</v>
      </c>
      <c r="K195" s="165">
        <v>151.79400000000001</v>
      </c>
      <c r="L195" s="166">
        <f t="shared" si="582"/>
        <v>151.79400000000001</v>
      </c>
      <c r="M195" s="165">
        <v>155.93199999999999</v>
      </c>
      <c r="N195" s="165">
        <v>164.35</v>
      </c>
      <c r="O195" s="165">
        <v>163.58000000000001</v>
      </c>
      <c r="P195" s="165">
        <v>183.13900000000001</v>
      </c>
      <c r="Q195" s="166">
        <f t="shared" si="583"/>
        <v>183.13900000000001</v>
      </c>
      <c r="R195" s="165">
        <v>146.21299999999999</v>
      </c>
      <c r="S195" s="165">
        <v>162.34299999999999</v>
      </c>
      <c r="T195" s="165">
        <v>160.70099999999999</v>
      </c>
      <c r="U195" s="165">
        <v>206.28299999999999</v>
      </c>
      <c r="V195" s="166">
        <f t="shared" si="584"/>
        <v>206.28299999999999</v>
      </c>
      <c r="W195" s="165">
        <f>Sheet!B23/1000</f>
        <v>191.38300000000001</v>
      </c>
      <c r="X195" s="165">
        <f>X$120*X224</f>
        <v>201.47155743977717</v>
      </c>
      <c r="Y195" s="165">
        <f>Y$120*Y224</f>
        <v>211.12935780235901</v>
      </c>
      <c r="Z195" s="165">
        <f>Z$120*Z224</f>
        <v>217.35412608154215</v>
      </c>
      <c r="AA195" s="166">
        <f t="shared" si="585"/>
        <v>217.35412608154215</v>
      </c>
      <c r="AB195" s="165">
        <f>AB$120*AB224</f>
        <v>218.67525570541363</v>
      </c>
      <c r="AC195" s="165">
        <f>AC$120*AC224</f>
        <v>216.11258363163961</v>
      </c>
      <c r="AD195" s="165">
        <f>AD$120*AD224</f>
        <v>229.21117047070371</v>
      </c>
      <c r="AE195" s="165">
        <f>AE$120*AE224</f>
        <v>231.05982056618251</v>
      </c>
      <c r="AF195" s="166">
        <f t="shared" si="586"/>
        <v>231.05982056618251</v>
      </c>
      <c r="AG195" s="165">
        <f>AG$120*AG224</f>
        <v>236.28191126287206</v>
      </c>
      <c r="AH195" s="165">
        <f>AH$120*AH224</f>
        <v>230.77516473145792</v>
      </c>
      <c r="AI195" s="165">
        <f>AI$120*AI224</f>
        <v>243.84877323646342</v>
      </c>
      <c r="AJ195" s="165">
        <f>AJ$120*AJ224</f>
        <v>245.19666541635686</v>
      </c>
      <c r="AK195" s="166">
        <f t="shared" si="587"/>
        <v>245.19666541635686</v>
      </c>
      <c r="AL195" s="166">
        <f>AL$120*AL224</f>
        <v>252.34206147821428</v>
      </c>
      <c r="AM195" s="166">
        <f t="shared" ref="AM195:AN195" si="590">AM$120*AM224</f>
        <v>260.20199714625733</v>
      </c>
      <c r="AN195" s="166">
        <f t="shared" si="590"/>
        <v>268.8479263811048</v>
      </c>
    </row>
    <row r="196" spans="1:40" ht="15" customHeight="1" x14ac:dyDescent="0.2">
      <c r="A196" s="12" t="s">
        <v>187</v>
      </c>
      <c r="G196" s="168">
        <f t="shared" ref="G196" si="591">SUM(G192:G195)</f>
        <v>0</v>
      </c>
      <c r="H196" s="172">
        <f t="shared" ref="H196:I196" si="592">SUM(H192:H195)</f>
        <v>792.04499999999985</v>
      </c>
      <c r="I196" s="172">
        <f t="shared" si="592"/>
        <v>594.83400000000006</v>
      </c>
      <c r="J196" s="172">
        <f>SUM(J192:J195)</f>
        <v>535.62799999999993</v>
      </c>
      <c r="K196" s="167">
        <f t="shared" ref="K196:AL196" si="593">SUM(K192:K195)</f>
        <v>392.33199999999999</v>
      </c>
      <c r="L196" s="168">
        <f t="shared" si="593"/>
        <v>392.33199999999999</v>
      </c>
      <c r="M196" s="167">
        <f t="shared" si="593"/>
        <v>328.11</v>
      </c>
      <c r="N196" s="167">
        <f t="shared" si="593"/>
        <v>341.40800000000002</v>
      </c>
      <c r="O196" s="167">
        <f t="shared" si="593"/>
        <v>340.577</v>
      </c>
      <c r="P196" s="167">
        <f t="shared" si="593"/>
        <v>366.25700000000001</v>
      </c>
      <c r="Q196" s="168">
        <f t="shared" ref="Q196" si="594">SUM(Q192:Q195)</f>
        <v>366.25700000000001</v>
      </c>
      <c r="R196" s="167">
        <f t="shared" si="593"/>
        <v>329.50799999999998</v>
      </c>
      <c r="S196" s="167">
        <f t="shared" si="593"/>
        <v>369.04599999999999</v>
      </c>
      <c r="T196" s="167">
        <f t="shared" si="593"/>
        <v>424.47400000000005</v>
      </c>
      <c r="U196" s="167">
        <f t="shared" si="593"/>
        <v>539.11300000000006</v>
      </c>
      <c r="V196" s="168">
        <f t="shared" si="593"/>
        <v>539.11300000000006</v>
      </c>
      <c r="W196" s="167">
        <f t="shared" si="593"/>
        <v>633.16100000000006</v>
      </c>
      <c r="X196" s="167">
        <f t="shared" si="593"/>
        <v>665.94635596088631</v>
      </c>
      <c r="Y196" s="167">
        <f t="shared" si="593"/>
        <v>684.42017126665485</v>
      </c>
      <c r="Z196" s="167">
        <f t="shared" si="593"/>
        <v>695.23428789337629</v>
      </c>
      <c r="AA196" s="168">
        <f t="shared" ref="AA196" si="595">SUM(AA192:AA195)</f>
        <v>695.23428789337629</v>
      </c>
      <c r="AB196" s="167">
        <f t="shared" si="593"/>
        <v>698.10820715819227</v>
      </c>
      <c r="AC196" s="167">
        <f t="shared" si="593"/>
        <v>695.32479435239384</v>
      </c>
      <c r="AD196" s="167">
        <f t="shared" si="593"/>
        <v>723.9879850905179</v>
      </c>
      <c r="AE196" s="167">
        <f t="shared" si="593"/>
        <v>725.04896974243229</v>
      </c>
      <c r="AF196" s="168">
        <f t="shared" si="593"/>
        <v>725.04896974243229</v>
      </c>
      <c r="AG196" s="167">
        <f t="shared" si="593"/>
        <v>736.4088444925369</v>
      </c>
      <c r="AH196" s="167">
        <f t="shared" si="593"/>
        <v>730.45733432925522</v>
      </c>
      <c r="AI196" s="167">
        <f t="shared" si="593"/>
        <v>756.01895187943899</v>
      </c>
      <c r="AJ196" s="167">
        <f t="shared" si="593"/>
        <v>755.80155451876487</v>
      </c>
      <c r="AK196" s="168">
        <f t="shared" ref="AK196" si="596">SUM(AK192:AK195)</f>
        <v>755.80155451876487</v>
      </c>
      <c r="AL196" s="168">
        <f t="shared" si="593"/>
        <v>771.34529150403932</v>
      </c>
      <c r="AM196" s="168">
        <f t="shared" ref="AM196:AN196" si="597">SUM(AM192:AM195)</f>
        <v>788.443402187841</v>
      </c>
      <c r="AN196" s="168">
        <f t="shared" si="597"/>
        <v>807.2513239400231</v>
      </c>
    </row>
    <row r="197" spans="1:40" ht="15" customHeight="1" x14ac:dyDescent="0.2">
      <c r="G197" s="146"/>
      <c r="H197" s="37"/>
      <c r="I197" s="37"/>
      <c r="J197" s="37"/>
      <c r="K197" s="37"/>
      <c r="L197" s="146"/>
      <c r="M197" s="165"/>
      <c r="N197" s="165"/>
      <c r="O197" s="165"/>
      <c r="P197" s="165"/>
      <c r="Q197" s="146"/>
      <c r="R197" s="165"/>
      <c r="S197" s="165"/>
      <c r="T197" s="30"/>
      <c r="U197" s="165"/>
      <c r="V197" s="146"/>
      <c r="AA197" s="146"/>
      <c r="AF197" s="146"/>
      <c r="AK197" s="146"/>
      <c r="AL197" s="146"/>
      <c r="AM197" s="146"/>
      <c r="AN197" s="146"/>
    </row>
    <row r="198" spans="1:40" ht="15" customHeight="1" x14ac:dyDescent="0.2">
      <c r="A198" s="121" t="s">
        <v>188</v>
      </c>
      <c r="G198" s="166">
        <f>F198</f>
        <v>0</v>
      </c>
      <c r="H198" s="37">
        <v>729.17600000000004</v>
      </c>
      <c r="I198" s="37">
        <v>869.22299999999996</v>
      </c>
      <c r="J198" s="37">
        <v>729.16499999999996</v>
      </c>
      <c r="K198" s="165">
        <v>736.84900000000005</v>
      </c>
      <c r="L198" s="166">
        <f>K198</f>
        <v>736.84900000000005</v>
      </c>
      <c r="M198" s="165">
        <v>745.46400000000006</v>
      </c>
      <c r="N198" s="165">
        <v>736.09500000000003</v>
      </c>
      <c r="O198" s="165">
        <v>739.06200000000001</v>
      </c>
      <c r="P198" s="165">
        <v>734.12199999999996</v>
      </c>
      <c r="Q198" s="166">
        <f>P198</f>
        <v>734.12199999999996</v>
      </c>
      <c r="R198" s="165">
        <v>729.82600000000002</v>
      </c>
      <c r="S198" s="165">
        <v>728.24699999999996</v>
      </c>
      <c r="T198" s="165">
        <v>716.74400000000003</v>
      </c>
      <c r="U198" s="165">
        <v>709.76</v>
      </c>
      <c r="V198" s="166">
        <f>U198</f>
        <v>709.76</v>
      </c>
      <c r="W198" s="165">
        <f>Sheet!B25/1000</f>
        <v>649.09299999999996</v>
      </c>
      <c r="X198" s="165">
        <f>W198+X265</f>
        <v>649.09299999999996</v>
      </c>
      <c r="Y198" s="165">
        <f>X198+Y265</f>
        <v>649.09299999999996</v>
      </c>
      <c r="Z198" s="165">
        <f>Y198+Z265</f>
        <v>649.09299999999996</v>
      </c>
      <c r="AA198" s="166">
        <f>Z198</f>
        <v>649.09299999999996</v>
      </c>
      <c r="AB198" s="165">
        <f>Z198+AB265</f>
        <v>649.09299999999996</v>
      </c>
      <c r="AC198" s="165">
        <f>AB198+AC265</f>
        <v>649.09299999999996</v>
      </c>
      <c r="AD198" s="165">
        <f>AC198+AD265</f>
        <v>649.09299999999996</v>
      </c>
      <c r="AE198" s="165">
        <f>AD198+AE265</f>
        <v>649.09299999999996</v>
      </c>
      <c r="AF198" s="166">
        <f>AE198</f>
        <v>649.09299999999996</v>
      </c>
      <c r="AG198" s="165">
        <f>AE198+AG265</f>
        <v>649.09299999999996</v>
      </c>
      <c r="AH198" s="165">
        <f>AG198+AH265</f>
        <v>649.09299999999996</v>
      </c>
      <c r="AI198" s="165">
        <f>AH198+AI265</f>
        <v>649.09299999999996</v>
      </c>
      <c r="AJ198" s="165">
        <f>AI198+AJ265</f>
        <v>649.09299999999996</v>
      </c>
      <c r="AK198" s="166">
        <f>AJ198</f>
        <v>649.09299999999996</v>
      </c>
      <c r="AL198" s="166">
        <f>AK198+AL265</f>
        <v>649.09299999999996</v>
      </c>
      <c r="AM198" s="166">
        <f>AL198+AM265</f>
        <v>649.09299999999996</v>
      </c>
      <c r="AN198" s="166">
        <f>AM198+AN265</f>
        <v>649.09299999999996</v>
      </c>
    </row>
    <row r="199" spans="1:40" ht="15" customHeight="1" x14ac:dyDescent="0.2">
      <c r="A199" s="121" t="s">
        <v>189</v>
      </c>
      <c r="G199" s="166">
        <f t="shared" ref="G199:G200" si="598">F199</f>
        <v>0</v>
      </c>
      <c r="H199" s="37">
        <v>154.56299999999999</v>
      </c>
      <c r="I199" s="37">
        <v>153.904</v>
      </c>
      <c r="J199" s="37">
        <v>156.583</v>
      </c>
      <c r="K199" s="165">
        <v>163.57300000000001</v>
      </c>
      <c r="L199" s="166">
        <f t="shared" ref="L199:L200" si="599">K199</f>
        <v>163.57300000000001</v>
      </c>
      <c r="M199" s="165">
        <v>168.18100000000001</v>
      </c>
      <c r="N199" s="165">
        <v>164.06800000000001</v>
      </c>
      <c r="O199" s="165">
        <v>165.65199999999999</v>
      </c>
      <c r="P199" s="165">
        <v>157.93600000000001</v>
      </c>
      <c r="Q199" s="166">
        <f t="shared" ref="Q199:Q200" si="600">P199</f>
        <v>157.93600000000001</v>
      </c>
      <c r="R199" s="165">
        <v>156.16900000000001</v>
      </c>
      <c r="S199" s="165">
        <v>155.09200000000001</v>
      </c>
      <c r="T199" s="165">
        <v>150.46899999999999</v>
      </c>
      <c r="U199" s="165">
        <v>127.19499999999999</v>
      </c>
      <c r="V199" s="166">
        <f t="shared" ref="V199:V200" si="601">U199</f>
        <v>127.19499999999999</v>
      </c>
      <c r="W199" s="165">
        <f>Sheet!B26/1000</f>
        <v>136.82499999999999</v>
      </c>
      <c r="X199" s="165">
        <f>W199+X238</f>
        <v>136.82499999999999</v>
      </c>
      <c r="Y199" s="165">
        <f>X199+Y238</f>
        <v>136.82499999999999</v>
      </c>
      <c r="Z199" s="165">
        <f>Y199+Z238</f>
        <v>136.82499999999999</v>
      </c>
      <c r="AA199" s="166">
        <f t="shared" ref="AA199:AA200" si="602">Z199</f>
        <v>136.82499999999999</v>
      </c>
      <c r="AB199" s="165">
        <f>Z199+AB238</f>
        <v>136.82499999999999</v>
      </c>
      <c r="AC199" s="165">
        <f>AB199+AC238</f>
        <v>136.82499999999999</v>
      </c>
      <c r="AD199" s="165">
        <f>AC199+AD238</f>
        <v>136.82499999999999</v>
      </c>
      <c r="AE199" s="165">
        <f>AD199+AE238</f>
        <v>136.82499999999999</v>
      </c>
      <c r="AF199" s="166">
        <f t="shared" ref="AF199:AF200" si="603">AE199</f>
        <v>136.82499999999999</v>
      </c>
      <c r="AG199" s="165">
        <f>AE199+AG238</f>
        <v>136.82499999999999</v>
      </c>
      <c r="AH199" s="165">
        <f>AG199+AH238</f>
        <v>136.82499999999999</v>
      </c>
      <c r="AI199" s="165">
        <f>AH199+AI238</f>
        <v>136.82499999999999</v>
      </c>
      <c r="AJ199" s="165">
        <f>AI199+AJ238</f>
        <v>136.82499999999999</v>
      </c>
      <c r="AK199" s="166">
        <f t="shared" ref="AK199:AK200" si="604">AJ199</f>
        <v>136.82499999999999</v>
      </c>
      <c r="AL199" s="166">
        <f>AK199+AL238</f>
        <v>136.82499999999999</v>
      </c>
      <c r="AM199" s="166">
        <f>AL199+AM238</f>
        <v>136.82499999999999</v>
      </c>
      <c r="AN199" s="166">
        <f>AM199+AN238</f>
        <v>136.82499999999999</v>
      </c>
    </row>
    <row r="200" spans="1:40" ht="15" customHeight="1" x14ac:dyDescent="0.2">
      <c r="A200" s="121" t="s">
        <v>154</v>
      </c>
      <c r="G200" s="166">
        <f t="shared" si="598"/>
        <v>0</v>
      </c>
      <c r="H200" s="37">
        <v>532.78200000000004</v>
      </c>
      <c r="I200" s="37">
        <v>534.62099999999998</v>
      </c>
      <c r="J200" s="37">
        <v>575.52700000000004</v>
      </c>
      <c r="K200" s="165">
        <v>617.90499999999997</v>
      </c>
      <c r="L200" s="166">
        <f t="shared" si="599"/>
        <v>617.90499999999997</v>
      </c>
      <c r="M200" s="165">
        <v>654.28800000000001</v>
      </c>
      <c r="N200" s="165">
        <v>645.9</v>
      </c>
      <c r="O200" s="165">
        <v>641.67700000000002</v>
      </c>
      <c r="P200" s="165">
        <v>617.90800000000002</v>
      </c>
      <c r="Q200" s="166">
        <f t="shared" si="600"/>
        <v>617.90800000000002</v>
      </c>
      <c r="R200" s="165">
        <v>596.30499999999995</v>
      </c>
      <c r="S200" s="165">
        <v>586.28</v>
      </c>
      <c r="T200" s="165">
        <v>554.48900000000003</v>
      </c>
      <c r="U200" s="165">
        <v>529.25599999999997</v>
      </c>
      <c r="V200" s="166">
        <f t="shared" si="601"/>
        <v>529.25599999999997</v>
      </c>
      <c r="W200" s="165">
        <f>Sheet!B27/1000</f>
        <v>536.29399999999998</v>
      </c>
      <c r="X200" s="165">
        <f>W200+X249</f>
        <v>536.29399999999998</v>
      </c>
      <c r="Y200" s="165">
        <f>X200+Y249</f>
        <v>536.29399999999998</v>
      </c>
      <c r="Z200" s="165">
        <f>Y200+Z249</f>
        <v>536.29399999999998</v>
      </c>
      <c r="AA200" s="166">
        <f t="shared" si="602"/>
        <v>536.29399999999998</v>
      </c>
      <c r="AB200" s="165">
        <f>Z200+AB249</f>
        <v>536.29399999999998</v>
      </c>
      <c r="AC200" s="165">
        <f>AB200+AC249</f>
        <v>536.29399999999998</v>
      </c>
      <c r="AD200" s="165">
        <f>AC200+AD249</f>
        <v>536.29399999999998</v>
      </c>
      <c r="AE200" s="165">
        <f>AD200+AE249</f>
        <v>536.29399999999998</v>
      </c>
      <c r="AF200" s="166">
        <f t="shared" si="603"/>
        <v>536.29399999999998</v>
      </c>
      <c r="AG200" s="165">
        <f>AE200+AG249</f>
        <v>536.29399999999998</v>
      </c>
      <c r="AH200" s="165">
        <f>AG200+AH249</f>
        <v>536.29399999999998</v>
      </c>
      <c r="AI200" s="165">
        <f>AH200+AI249</f>
        <v>536.29399999999998</v>
      </c>
      <c r="AJ200" s="165">
        <f>AI200+AJ249</f>
        <v>536.29399999999998</v>
      </c>
      <c r="AK200" s="166">
        <f t="shared" si="604"/>
        <v>536.29399999999998</v>
      </c>
      <c r="AL200" s="166">
        <f>AK200+AL249</f>
        <v>536.29399999999998</v>
      </c>
      <c r="AM200" s="166">
        <f>AL200+AM249</f>
        <v>536.29399999999998</v>
      </c>
      <c r="AN200" s="166">
        <f>AM200+AN249</f>
        <v>536.29399999999998</v>
      </c>
    </row>
    <row r="201" spans="1:40" ht="15" customHeight="1" x14ac:dyDescent="0.2">
      <c r="A201" s="12" t="s">
        <v>190</v>
      </c>
      <c r="G201" s="168">
        <f t="shared" ref="G201" si="605">SUM(G198:G200)</f>
        <v>0</v>
      </c>
      <c r="H201" s="167">
        <f t="shared" ref="H201:AL201" si="606">SUM(H198:H200)</f>
        <v>1416.5210000000002</v>
      </c>
      <c r="I201" s="167">
        <f t="shared" si="606"/>
        <v>1557.748</v>
      </c>
      <c r="J201" s="167">
        <f t="shared" si="606"/>
        <v>1461.2750000000001</v>
      </c>
      <c r="K201" s="167">
        <f t="shared" si="606"/>
        <v>1518.327</v>
      </c>
      <c r="L201" s="168">
        <f t="shared" si="606"/>
        <v>1518.327</v>
      </c>
      <c r="M201" s="167">
        <f t="shared" si="606"/>
        <v>1567.933</v>
      </c>
      <c r="N201" s="167">
        <f t="shared" si="606"/>
        <v>1546.0630000000001</v>
      </c>
      <c r="O201" s="167">
        <f t="shared" si="606"/>
        <v>1546.3910000000001</v>
      </c>
      <c r="P201" s="167">
        <f t="shared" si="606"/>
        <v>1509.9659999999999</v>
      </c>
      <c r="Q201" s="168">
        <f t="shared" ref="Q201" si="607">SUM(Q198:Q200)</f>
        <v>1509.9659999999999</v>
      </c>
      <c r="R201" s="167">
        <f t="shared" si="606"/>
        <v>1482.3</v>
      </c>
      <c r="S201" s="167">
        <f t="shared" si="606"/>
        <v>1469.6189999999999</v>
      </c>
      <c r="T201" s="167">
        <f t="shared" si="606"/>
        <v>1421.702</v>
      </c>
      <c r="U201" s="167">
        <f t="shared" si="606"/>
        <v>1366.2109999999998</v>
      </c>
      <c r="V201" s="168">
        <f t="shared" si="606"/>
        <v>1366.2109999999998</v>
      </c>
      <c r="W201" s="167">
        <f t="shared" si="606"/>
        <v>1322.212</v>
      </c>
      <c r="X201" s="167">
        <f t="shared" si="606"/>
        <v>1322.212</v>
      </c>
      <c r="Y201" s="167">
        <f t="shared" si="606"/>
        <v>1322.212</v>
      </c>
      <c r="Z201" s="167">
        <f t="shared" si="606"/>
        <v>1322.212</v>
      </c>
      <c r="AA201" s="168">
        <f t="shared" ref="AA201" si="608">SUM(AA198:AA200)</f>
        <v>1322.212</v>
      </c>
      <c r="AB201" s="167">
        <f t="shared" si="606"/>
        <v>1322.212</v>
      </c>
      <c r="AC201" s="167">
        <f t="shared" si="606"/>
        <v>1322.212</v>
      </c>
      <c r="AD201" s="167">
        <f t="shared" si="606"/>
        <v>1322.212</v>
      </c>
      <c r="AE201" s="167">
        <f t="shared" si="606"/>
        <v>1322.212</v>
      </c>
      <c r="AF201" s="168">
        <f t="shared" si="606"/>
        <v>1322.212</v>
      </c>
      <c r="AG201" s="167">
        <f t="shared" si="606"/>
        <v>1322.212</v>
      </c>
      <c r="AH201" s="167">
        <f t="shared" si="606"/>
        <v>1322.212</v>
      </c>
      <c r="AI201" s="167">
        <f t="shared" si="606"/>
        <v>1322.212</v>
      </c>
      <c r="AJ201" s="167">
        <f t="shared" si="606"/>
        <v>1322.212</v>
      </c>
      <c r="AK201" s="168">
        <f t="shared" ref="AK201" si="609">SUM(AK198:AK200)</f>
        <v>1322.212</v>
      </c>
      <c r="AL201" s="168">
        <f t="shared" si="606"/>
        <v>1322.212</v>
      </c>
      <c r="AM201" s="168">
        <f t="shared" ref="AM201:AN201" si="610">SUM(AM198:AM200)</f>
        <v>1322.212</v>
      </c>
      <c r="AN201" s="168">
        <f t="shared" si="610"/>
        <v>1322.212</v>
      </c>
    </row>
    <row r="202" spans="1:40" ht="15" customHeight="1" x14ac:dyDescent="0.2">
      <c r="G202" s="146"/>
      <c r="H202" s="37"/>
      <c r="I202" s="37"/>
      <c r="J202" s="37"/>
      <c r="K202" s="37"/>
      <c r="L202" s="146"/>
      <c r="M202" s="165"/>
      <c r="N202" s="165"/>
      <c r="O202" s="165"/>
      <c r="P202" s="165"/>
      <c r="Q202" s="146"/>
      <c r="R202" s="165"/>
      <c r="S202" s="165"/>
      <c r="T202" s="165"/>
      <c r="U202" s="165"/>
      <c r="V202" s="146"/>
      <c r="AA202" s="146"/>
      <c r="AF202" s="146"/>
      <c r="AK202" s="146"/>
      <c r="AL202" s="146"/>
      <c r="AM202" s="146"/>
      <c r="AN202" s="146"/>
    </row>
    <row r="203" spans="1:40" ht="15" customHeight="1" x14ac:dyDescent="0.2">
      <c r="A203" s="23" t="s">
        <v>191</v>
      </c>
      <c r="G203" s="174">
        <f t="shared" ref="G203" si="611">G201+G196</f>
        <v>0</v>
      </c>
      <c r="H203" s="173">
        <f t="shared" ref="H203:AL203" si="612">H201+H196</f>
        <v>2208.5659999999998</v>
      </c>
      <c r="I203" s="173">
        <f t="shared" si="612"/>
        <v>2152.5820000000003</v>
      </c>
      <c r="J203" s="173">
        <f t="shared" si="612"/>
        <v>1996.903</v>
      </c>
      <c r="K203" s="173">
        <f t="shared" si="612"/>
        <v>1910.6590000000001</v>
      </c>
      <c r="L203" s="174">
        <f t="shared" si="612"/>
        <v>1910.6590000000001</v>
      </c>
      <c r="M203" s="175">
        <f t="shared" si="612"/>
        <v>1896.0430000000001</v>
      </c>
      <c r="N203" s="175">
        <f t="shared" si="612"/>
        <v>1887.471</v>
      </c>
      <c r="O203" s="175">
        <f t="shared" si="612"/>
        <v>1886.9680000000001</v>
      </c>
      <c r="P203" s="175">
        <f t="shared" si="612"/>
        <v>1876.223</v>
      </c>
      <c r="Q203" s="174">
        <f t="shared" ref="Q203" si="613">Q201+Q196</f>
        <v>1876.223</v>
      </c>
      <c r="R203" s="175">
        <f t="shared" si="612"/>
        <v>1811.808</v>
      </c>
      <c r="S203" s="175">
        <f t="shared" si="612"/>
        <v>1838.665</v>
      </c>
      <c r="T203" s="175">
        <f t="shared" si="612"/>
        <v>1846.1759999999999</v>
      </c>
      <c r="U203" s="175">
        <f t="shared" si="612"/>
        <v>1905.3239999999998</v>
      </c>
      <c r="V203" s="174">
        <f t="shared" si="612"/>
        <v>1905.3239999999998</v>
      </c>
      <c r="W203" s="175">
        <f t="shared" si="612"/>
        <v>1955.373</v>
      </c>
      <c r="X203" s="175">
        <f t="shared" si="612"/>
        <v>1988.1583559608862</v>
      </c>
      <c r="Y203" s="175">
        <f t="shared" si="612"/>
        <v>2006.632171266655</v>
      </c>
      <c r="Z203" s="175">
        <f t="shared" si="612"/>
        <v>2017.4462878933764</v>
      </c>
      <c r="AA203" s="174">
        <f t="shared" ref="AA203" si="614">AA201+AA196</f>
        <v>2017.4462878933764</v>
      </c>
      <c r="AB203" s="175">
        <f t="shared" si="612"/>
        <v>2020.3202071581923</v>
      </c>
      <c r="AC203" s="175">
        <f t="shared" si="612"/>
        <v>2017.5367943523938</v>
      </c>
      <c r="AD203" s="175">
        <f t="shared" si="612"/>
        <v>2046.1999850905179</v>
      </c>
      <c r="AE203" s="175">
        <f t="shared" si="612"/>
        <v>2047.2609697424323</v>
      </c>
      <c r="AF203" s="174">
        <f t="shared" si="612"/>
        <v>2047.2609697424323</v>
      </c>
      <c r="AG203" s="175">
        <f t="shared" si="612"/>
        <v>2058.6208444925369</v>
      </c>
      <c r="AH203" s="175">
        <f t="shared" si="612"/>
        <v>2052.6693343292554</v>
      </c>
      <c r="AI203" s="175">
        <f t="shared" si="612"/>
        <v>2078.2309518794391</v>
      </c>
      <c r="AJ203" s="175">
        <f t="shared" si="612"/>
        <v>2078.013554518765</v>
      </c>
      <c r="AK203" s="174">
        <f t="shared" ref="AK203" si="615">AK201+AK196</f>
        <v>2078.013554518765</v>
      </c>
      <c r="AL203" s="174">
        <f t="shared" si="612"/>
        <v>2093.5572915040393</v>
      </c>
      <c r="AM203" s="174">
        <f t="shared" ref="AM203:AN203" si="616">AM201+AM196</f>
        <v>2110.655402187841</v>
      </c>
      <c r="AN203" s="174">
        <f t="shared" si="616"/>
        <v>2129.4633239400232</v>
      </c>
    </row>
    <row r="204" spans="1:40" ht="15" customHeight="1" x14ac:dyDescent="0.2">
      <c r="G204" s="146"/>
      <c r="H204" s="37"/>
      <c r="I204" s="37"/>
      <c r="J204" s="37"/>
      <c r="K204" s="37"/>
      <c r="L204" s="146"/>
      <c r="M204" s="165"/>
      <c r="N204" s="165"/>
      <c r="O204" s="165"/>
      <c r="P204" s="165"/>
      <c r="Q204" s="146"/>
      <c r="R204" s="165"/>
      <c r="S204" s="30"/>
      <c r="T204" s="30"/>
      <c r="U204" s="30"/>
      <c r="V204" s="146"/>
      <c r="AA204" s="146"/>
      <c r="AF204" s="146"/>
      <c r="AK204" s="146"/>
      <c r="AL204" s="146"/>
      <c r="AM204" s="146"/>
      <c r="AN204" s="146"/>
    </row>
    <row r="205" spans="1:40" ht="15" customHeight="1" x14ac:dyDescent="0.2">
      <c r="A205" s="121" t="s">
        <v>192</v>
      </c>
      <c r="G205" s="146">
        <f>F205</f>
        <v>0</v>
      </c>
      <c r="H205" s="37">
        <v>0.106</v>
      </c>
      <c r="I205" s="37">
        <v>0.106</v>
      </c>
      <c r="J205" s="37">
        <v>0.106</v>
      </c>
      <c r="K205" s="37">
        <v>0.106</v>
      </c>
      <c r="L205" s="146">
        <f>K205</f>
        <v>0.106</v>
      </c>
      <c r="M205" s="165">
        <v>0.106</v>
      </c>
      <c r="N205" s="165">
        <v>0.106</v>
      </c>
      <c r="O205" s="165">
        <v>0.106</v>
      </c>
      <c r="P205" s="37">
        <v>0.106</v>
      </c>
      <c r="Q205" s="146">
        <f>P205</f>
        <v>0.106</v>
      </c>
      <c r="R205" s="165">
        <v>0.106</v>
      </c>
      <c r="S205" s="165">
        <v>0.106</v>
      </c>
      <c r="T205" s="165">
        <v>0.106</v>
      </c>
      <c r="U205" s="165">
        <v>0.106</v>
      </c>
      <c r="V205" s="146">
        <f>U205</f>
        <v>0.106</v>
      </c>
      <c r="W205" s="165">
        <f>Sheet!B32/1000</f>
        <v>0.106</v>
      </c>
      <c r="X205" s="153">
        <f>W205</f>
        <v>0.106</v>
      </c>
      <c r="Y205" s="153">
        <f t="shared" ref="Y205:AJ208" si="617">X205</f>
        <v>0.106</v>
      </c>
      <c r="Z205" s="153">
        <f t="shared" si="617"/>
        <v>0.106</v>
      </c>
      <c r="AA205" s="146">
        <f>Z205</f>
        <v>0.106</v>
      </c>
      <c r="AB205" s="153">
        <f>Z205</f>
        <v>0.106</v>
      </c>
      <c r="AC205" s="153">
        <f t="shared" si="617"/>
        <v>0.106</v>
      </c>
      <c r="AD205" s="153">
        <f t="shared" si="617"/>
        <v>0.106</v>
      </c>
      <c r="AE205" s="153">
        <f t="shared" si="617"/>
        <v>0.106</v>
      </c>
      <c r="AF205" s="146">
        <f>AE205</f>
        <v>0.106</v>
      </c>
      <c r="AG205" s="153">
        <f>AE205</f>
        <v>0.106</v>
      </c>
      <c r="AH205" s="153">
        <f t="shared" si="617"/>
        <v>0.106</v>
      </c>
      <c r="AI205" s="153">
        <f t="shared" si="617"/>
        <v>0.106</v>
      </c>
      <c r="AJ205" s="153">
        <f t="shared" si="617"/>
        <v>0.106</v>
      </c>
      <c r="AK205" s="146">
        <f>AJ205</f>
        <v>0.106</v>
      </c>
      <c r="AL205" s="146">
        <f>AK205</f>
        <v>0.106</v>
      </c>
      <c r="AM205" s="146">
        <f t="shared" ref="AM205:AN205" si="618">AL205</f>
        <v>0.106</v>
      </c>
      <c r="AN205" s="146">
        <f t="shared" si="618"/>
        <v>0.106</v>
      </c>
    </row>
    <row r="206" spans="1:40" ht="15" customHeight="1" x14ac:dyDescent="0.2">
      <c r="A206" s="121" t="s">
        <v>193</v>
      </c>
      <c r="G206" s="146">
        <f t="shared" ref="G206:G209" si="619">F206</f>
        <v>0</v>
      </c>
      <c r="H206" s="37">
        <v>216.15799999999999</v>
      </c>
      <c r="I206" s="37">
        <v>227.494</v>
      </c>
      <c r="J206" s="37">
        <v>233.29400000000001</v>
      </c>
      <c r="K206" s="37">
        <v>231.93600000000001</v>
      </c>
      <c r="L206" s="146">
        <f t="shared" ref="L206:L209" si="620">K206</f>
        <v>231.93600000000001</v>
      </c>
      <c r="M206" s="165">
        <v>244.39400000000001</v>
      </c>
      <c r="N206" s="165">
        <v>257.00599999999997</v>
      </c>
      <c r="O206" s="165">
        <v>259.42399999999998</v>
      </c>
      <c r="P206" s="37">
        <v>261.73500000000001</v>
      </c>
      <c r="Q206" s="146">
        <f t="shared" ref="Q206:Q209" si="621">P206</f>
        <v>261.73500000000001</v>
      </c>
      <c r="R206" s="165">
        <v>274.36599999999999</v>
      </c>
      <c r="S206" s="165">
        <v>287.76600000000002</v>
      </c>
      <c r="T206" s="165">
        <v>290.89999999999998</v>
      </c>
      <c r="U206" s="165">
        <v>293.54000000000002</v>
      </c>
      <c r="V206" s="146">
        <f t="shared" ref="V206:V209" si="622">U206</f>
        <v>293.54000000000002</v>
      </c>
      <c r="W206" s="165">
        <f>Sheet!B33/1000</f>
        <v>305.10000000000002</v>
      </c>
      <c r="X206" s="161">
        <f>W206+X237-X267</f>
        <v>307.16500000000002</v>
      </c>
      <c r="Y206" s="161">
        <f>X206+Y237-Y267</f>
        <v>310.34399999999999</v>
      </c>
      <c r="Z206" s="161">
        <f>Y206+Z237-Z267</f>
        <v>313.31700000000001</v>
      </c>
      <c r="AA206" s="146">
        <f t="shared" ref="AA206:AA209" si="623">Z206</f>
        <v>313.31700000000001</v>
      </c>
      <c r="AB206" s="161">
        <f>Z206+AB237-AB267</f>
        <v>324.63299999999998</v>
      </c>
      <c r="AC206" s="161">
        <f>AB206+AC237-AC267</f>
        <v>326.69799999999998</v>
      </c>
      <c r="AD206" s="161">
        <f>AC206+AD237-AD267</f>
        <v>329.87699999999995</v>
      </c>
      <c r="AE206" s="161">
        <f>AD206+AE237-AE267</f>
        <v>332.84999999999997</v>
      </c>
      <c r="AF206" s="146">
        <f t="shared" ref="AF206:AF209" si="624">AE206</f>
        <v>332.84999999999997</v>
      </c>
      <c r="AG206" s="161">
        <f>AE206+AG237-AG267</f>
        <v>344.16599999999994</v>
      </c>
      <c r="AH206" s="161">
        <f>AG206+AH237-AH267</f>
        <v>346.23099999999994</v>
      </c>
      <c r="AI206" s="161">
        <f>AH206+AI237-AI267</f>
        <v>349.40999999999991</v>
      </c>
      <c r="AJ206" s="161">
        <f>AI206+AJ237-AJ267</f>
        <v>352.38299999999992</v>
      </c>
      <c r="AK206" s="146">
        <f t="shared" ref="AK206:AK209" si="625">AJ206</f>
        <v>352.38299999999992</v>
      </c>
      <c r="AL206" s="146">
        <f>AK206+AL237-AL267</f>
        <v>371.91599999999994</v>
      </c>
      <c r="AM206" s="146">
        <f>AL206+AM237-AM267</f>
        <v>391.44899999999996</v>
      </c>
      <c r="AN206" s="146">
        <f>AM206+AN237-AN267</f>
        <v>410.98199999999997</v>
      </c>
    </row>
    <row r="207" spans="1:40" ht="15" customHeight="1" x14ac:dyDescent="0.2">
      <c r="A207" s="121" t="s">
        <v>194</v>
      </c>
      <c r="G207" s="146">
        <f t="shared" si="619"/>
        <v>0</v>
      </c>
      <c r="H207" s="37">
        <v>-93.548000000000002</v>
      </c>
      <c r="I207" s="37">
        <v>-67.376000000000005</v>
      </c>
      <c r="J207" s="37">
        <v>-104.375</v>
      </c>
      <c r="K207" s="37">
        <v>-89.793999999999997</v>
      </c>
      <c r="L207" s="146">
        <f t="shared" si="620"/>
        <v>-89.793999999999997</v>
      </c>
      <c r="M207" s="165">
        <v>-80.316000000000003</v>
      </c>
      <c r="N207" s="165">
        <v>-103.441</v>
      </c>
      <c r="O207" s="165">
        <v>-79.965999999999994</v>
      </c>
      <c r="P207" s="37">
        <v>-65.619</v>
      </c>
      <c r="Q207" s="146">
        <f t="shared" si="621"/>
        <v>-65.619</v>
      </c>
      <c r="R207" s="165">
        <v>-65.403999999999996</v>
      </c>
      <c r="S207" s="165">
        <v>-63.137</v>
      </c>
      <c r="T207" s="165">
        <v>-81.742000000000004</v>
      </c>
      <c r="U207" s="165">
        <v>-92.563000000000002</v>
      </c>
      <c r="V207" s="146">
        <f t="shared" si="622"/>
        <v>-92.563000000000002</v>
      </c>
      <c r="W207" s="165">
        <f>Sheet!B34/1000</f>
        <v>-58.631999999999998</v>
      </c>
      <c r="X207" s="153">
        <f>W207</f>
        <v>-58.631999999999998</v>
      </c>
      <c r="Y207" s="153">
        <f t="shared" si="617"/>
        <v>-58.631999999999998</v>
      </c>
      <c r="Z207" s="153">
        <f t="shared" si="617"/>
        <v>-58.631999999999998</v>
      </c>
      <c r="AA207" s="146">
        <f t="shared" si="623"/>
        <v>-58.631999999999998</v>
      </c>
      <c r="AB207" s="153">
        <f>Z207</f>
        <v>-58.631999999999998</v>
      </c>
      <c r="AC207" s="153">
        <f t="shared" si="617"/>
        <v>-58.631999999999998</v>
      </c>
      <c r="AD207" s="153">
        <f t="shared" si="617"/>
        <v>-58.631999999999998</v>
      </c>
      <c r="AE207" s="153">
        <f t="shared" si="617"/>
        <v>-58.631999999999998</v>
      </c>
      <c r="AF207" s="146">
        <f t="shared" si="624"/>
        <v>-58.631999999999998</v>
      </c>
      <c r="AG207" s="153">
        <f>AE207</f>
        <v>-58.631999999999998</v>
      </c>
      <c r="AH207" s="153">
        <f t="shared" si="617"/>
        <v>-58.631999999999998</v>
      </c>
      <c r="AI207" s="153">
        <f t="shared" si="617"/>
        <v>-58.631999999999998</v>
      </c>
      <c r="AJ207" s="153">
        <f t="shared" si="617"/>
        <v>-58.631999999999998</v>
      </c>
      <c r="AK207" s="146">
        <f t="shared" si="625"/>
        <v>-58.631999999999998</v>
      </c>
      <c r="AL207" s="146">
        <f>AK207</f>
        <v>-58.631999999999998</v>
      </c>
      <c r="AM207" s="146">
        <f t="shared" ref="AM207:AN207" si="626">AL207</f>
        <v>-58.631999999999998</v>
      </c>
      <c r="AN207" s="146">
        <f t="shared" si="626"/>
        <v>-58.631999999999998</v>
      </c>
    </row>
    <row r="208" spans="1:40" ht="15" customHeight="1" x14ac:dyDescent="0.2">
      <c r="A208" s="121" t="s">
        <v>195</v>
      </c>
      <c r="G208" s="146">
        <f t="shared" si="619"/>
        <v>0</v>
      </c>
      <c r="H208" s="37">
        <v>9.9109999999999996</v>
      </c>
      <c r="I208" s="37">
        <v>9.9629999999999992</v>
      </c>
      <c r="J208" s="37">
        <v>9.76</v>
      </c>
      <c r="K208" s="37">
        <v>9.2219999999999995</v>
      </c>
      <c r="L208" s="146">
        <f t="shared" si="620"/>
        <v>9.2219999999999995</v>
      </c>
      <c r="M208" s="165">
        <v>9.4849999999999994</v>
      </c>
      <c r="N208" s="165">
        <v>9.1029999999999998</v>
      </c>
      <c r="O208" s="165">
        <v>8.15</v>
      </c>
      <c r="P208" s="37">
        <v>7.9489999999999998</v>
      </c>
      <c r="Q208" s="146">
        <f t="shared" si="621"/>
        <v>7.9489999999999998</v>
      </c>
      <c r="R208" s="165">
        <v>7.96</v>
      </c>
      <c r="S208" s="165">
        <v>6.6779999999999999</v>
      </c>
      <c r="T208" s="165">
        <v>6.7610000000000001</v>
      </c>
      <c r="U208" s="165">
        <v>6.7809999999999997</v>
      </c>
      <c r="V208" s="146">
        <f t="shared" si="622"/>
        <v>6.7809999999999997</v>
      </c>
      <c r="W208" s="165">
        <f>Sheet!B35/1000</f>
        <v>5.9749999999999996</v>
      </c>
      <c r="X208" s="153">
        <f>W208</f>
        <v>5.9749999999999996</v>
      </c>
      <c r="Y208" s="153">
        <f t="shared" si="617"/>
        <v>5.9749999999999996</v>
      </c>
      <c r="Z208" s="153">
        <f t="shared" si="617"/>
        <v>5.9749999999999996</v>
      </c>
      <c r="AA208" s="146">
        <f t="shared" si="623"/>
        <v>5.9749999999999996</v>
      </c>
      <c r="AB208" s="153">
        <f>Z208</f>
        <v>5.9749999999999996</v>
      </c>
      <c r="AC208" s="153">
        <f t="shared" si="617"/>
        <v>5.9749999999999996</v>
      </c>
      <c r="AD208" s="153">
        <f t="shared" si="617"/>
        <v>5.9749999999999996</v>
      </c>
      <c r="AE208" s="153">
        <f t="shared" si="617"/>
        <v>5.9749999999999996</v>
      </c>
      <c r="AF208" s="146">
        <f t="shared" si="624"/>
        <v>5.9749999999999996</v>
      </c>
      <c r="AG208" s="153">
        <f>AE208</f>
        <v>5.9749999999999996</v>
      </c>
      <c r="AH208" s="153">
        <f t="shared" si="617"/>
        <v>5.9749999999999996</v>
      </c>
      <c r="AI208" s="153">
        <f t="shared" si="617"/>
        <v>5.9749999999999996</v>
      </c>
      <c r="AJ208" s="153">
        <f t="shared" si="617"/>
        <v>5.9749999999999996</v>
      </c>
      <c r="AK208" s="146">
        <f t="shared" si="625"/>
        <v>5.9749999999999996</v>
      </c>
      <c r="AL208" s="146">
        <f>AJ208</f>
        <v>5.9749999999999996</v>
      </c>
      <c r="AM208" s="146">
        <f t="shared" ref="AM208:AN208" si="627">AK208</f>
        <v>5.9749999999999996</v>
      </c>
      <c r="AN208" s="146">
        <f t="shared" si="627"/>
        <v>5.9749999999999996</v>
      </c>
    </row>
    <row r="209" spans="1:40" ht="15" customHeight="1" x14ac:dyDescent="0.2">
      <c r="A209" s="121" t="s">
        <v>196</v>
      </c>
      <c r="G209" s="146">
        <f t="shared" si="619"/>
        <v>0</v>
      </c>
      <c r="H209" s="37">
        <v>2268.4830000000002</v>
      </c>
      <c r="I209" s="37">
        <v>2342.34</v>
      </c>
      <c r="J209" s="37">
        <v>2372.7330000000002</v>
      </c>
      <c r="K209" s="37">
        <v>2427.9050000000002</v>
      </c>
      <c r="L209" s="146">
        <f t="shared" si="620"/>
        <v>2427.9050000000002</v>
      </c>
      <c r="M209" s="165">
        <v>2464.373</v>
      </c>
      <c r="N209" s="165">
        <v>2522.384</v>
      </c>
      <c r="O209" s="165">
        <v>2560.915</v>
      </c>
      <c r="P209" s="37">
        <v>2600.5129999999999</v>
      </c>
      <c r="Q209" s="146">
        <f t="shared" si="621"/>
        <v>2600.5129999999999</v>
      </c>
      <c r="R209" s="165">
        <v>2620.5709999999999</v>
      </c>
      <c r="S209" s="165">
        <v>2656.59</v>
      </c>
      <c r="T209" s="165">
        <v>2684.598</v>
      </c>
      <c r="U209" s="165">
        <v>2727.2330000000002</v>
      </c>
      <c r="V209" s="146">
        <f t="shared" si="622"/>
        <v>2727.2330000000002</v>
      </c>
      <c r="W209" s="165">
        <f>Sheet!B36/1000</f>
        <v>2745.4839999999999</v>
      </c>
      <c r="X209" s="161">
        <f>W209+X158+X262</f>
        <v>2767.0407386964157</v>
      </c>
      <c r="Y209" s="161">
        <f>X209+Y158+Y262</f>
        <v>2798.7475769007101</v>
      </c>
      <c r="Z209" s="161">
        <f>Y209+Z158+Z262</f>
        <v>2839.9400269807188</v>
      </c>
      <c r="AA209" s="146">
        <f t="shared" si="623"/>
        <v>2839.9400269807188</v>
      </c>
      <c r="AB209" s="161">
        <f>Z209+AB158+AB262</f>
        <v>2883.4637961435678</v>
      </c>
      <c r="AC209" s="161">
        <f>AB209+AC158+AC262</f>
        <v>2927.9979747989014</v>
      </c>
      <c r="AD209" s="161">
        <f>AC209+AD158+AD262</f>
        <v>2978.6109449338842</v>
      </c>
      <c r="AE209" s="161">
        <f>AD209+AE158+AE262</f>
        <v>3029.9724540274483</v>
      </c>
      <c r="AF209" s="146">
        <f t="shared" si="624"/>
        <v>3029.9724540274483</v>
      </c>
      <c r="AG209" s="161">
        <f>AE209+AG158+AG262</f>
        <v>3081.0020932006178</v>
      </c>
      <c r="AH209" s="161">
        <f>AG209+AH158+AH262</f>
        <v>3129.9314399626633</v>
      </c>
      <c r="AI209" s="161">
        <f>AH209+AI158+AI262</f>
        <v>3183.9752029357392</v>
      </c>
      <c r="AJ209" s="161">
        <f>AI209+AJ158+AJ262</f>
        <v>3238.5815316868316</v>
      </c>
      <c r="AK209" s="146">
        <f t="shared" si="625"/>
        <v>3238.5815316868316</v>
      </c>
      <c r="AL209" s="146">
        <f>AK209+AL158+AL262</f>
        <v>3448.0298134344685</v>
      </c>
      <c r="AM209" s="146">
        <f>AL209+AM158+AM262</f>
        <v>3657.7735999078532</v>
      </c>
      <c r="AN209" s="146">
        <f>AM209+AN158+AN262</f>
        <v>3867.4327739896894</v>
      </c>
    </row>
    <row r="210" spans="1:40" ht="15" customHeight="1" x14ac:dyDescent="0.2">
      <c r="A210" s="12" t="s">
        <v>197</v>
      </c>
      <c r="G210" s="168">
        <f t="shared" ref="G210" si="628">SUM(G205:G209)</f>
        <v>0</v>
      </c>
      <c r="H210" s="167">
        <f t="shared" ref="H210:AL210" si="629">SUM(H205:H209)</f>
        <v>2401.11</v>
      </c>
      <c r="I210" s="167">
        <f t="shared" si="629"/>
        <v>2512.527</v>
      </c>
      <c r="J210" s="167">
        <f t="shared" si="629"/>
        <v>2511.518</v>
      </c>
      <c r="K210" s="167">
        <f t="shared" si="629"/>
        <v>2579.375</v>
      </c>
      <c r="L210" s="168">
        <f t="shared" si="629"/>
        <v>2579.375</v>
      </c>
      <c r="M210" s="167">
        <f t="shared" si="629"/>
        <v>2638.0419999999999</v>
      </c>
      <c r="N210" s="167">
        <f t="shared" si="629"/>
        <v>2685.1579999999999</v>
      </c>
      <c r="O210" s="167">
        <f t="shared" si="629"/>
        <v>2748.6289999999999</v>
      </c>
      <c r="P210" s="167">
        <f t="shared" si="629"/>
        <v>2804.6839999999997</v>
      </c>
      <c r="Q210" s="168">
        <f t="shared" ref="Q210" si="630">SUM(Q205:Q209)</f>
        <v>2804.6839999999997</v>
      </c>
      <c r="R210" s="167">
        <f t="shared" si="629"/>
        <v>2837.5989999999997</v>
      </c>
      <c r="S210" s="167">
        <f t="shared" si="629"/>
        <v>2888.0030000000002</v>
      </c>
      <c r="T210" s="167">
        <f t="shared" si="629"/>
        <v>2900.623</v>
      </c>
      <c r="U210" s="167">
        <f t="shared" si="629"/>
        <v>2935.0970000000002</v>
      </c>
      <c r="V210" s="168">
        <f t="shared" si="629"/>
        <v>2935.0970000000002</v>
      </c>
      <c r="W210" s="167">
        <f t="shared" si="629"/>
        <v>2998.0329999999999</v>
      </c>
      <c r="X210" s="167">
        <f t="shared" si="629"/>
        <v>3021.6547386964157</v>
      </c>
      <c r="Y210" s="167">
        <f t="shared" si="629"/>
        <v>3056.5405769007102</v>
      </c>
      <c r="Z210" s="167">
        <f t="shared" si="629"/>
        <v>3100.7060269807189</v>
      </c>
      <c r="AA210" s="168">
        <f t="shared" ref="AA210" si="631">SUM(AA205:AA209)</f>
        <v>3100.7060269807189</v>
      </c>
      <c r="AB210" s="167">
        <f t="shared" si="629"/>
        <v>3155.5457961435677</v>
      </c>
      <c r="AC210" s="167">
        <f t="shared" si="629"/>
        <v>3202.1449747989013</v>
      </c>
      <c r="AD210" s="167">
        <f t="shared" si="629"/>
        <v>3255.9369449338842</v>
      </c>
      <c r="AE210" s="167">
        <f t="shared" si="629"/>
        <v>3310.2714540274483</v>
      </c>
      <c r="AF210" s="168">
        <f t="shared" si="629"/>
        <v>3310.2714540274483</v>
      </c>
      <c r="AG210" s="167">
        <f t="shared" si="629"/>
        <v>3372.6170932006175</v>
      </c>
      <c r="AH210" s="167">
        <f t="shared" si="629"/>
        <v>3423.6114399626631</v>
      </c>
      <c r="AI210" s="167">
        <f t="shared" si="629"/>
        <v>3480.8342029357391</v>
      </c>
      <c r="AJ210" s="167">
        <f t="shared" si="629"/>
        <v>3538.4135316868314</v>
      </c>
      <c r="AK210" s="168">
        <f t="shared" ref="AK210" si="632">SUM(AK205:AK209)</f>
        <v>3538.4135316868314</v>
      </c>
      <c r="AL210" s="168">
        <f t="shared" si="629"/>
        <v>3767.3948134344682</v>
      </c>
      <c r="AM210" s="168">
        <f t="shared" ref="AM210:AN210" si="633">SUM(AM205:AM209)</f>
        <v>3996.6715999078533</v>
      </c>
      <c r="AN210" s="168">
        <f t="shared" si="633"/>
        <v>4225.8637739896894</v>
      </c>
    </row>
    <row r="211" spans="1:40" ht="15" customHeight="1" x14ac:dyDescent="0.2">
      <c r="A211" s="121" t="s">
        <v>198</v>
      </c>
      <c r="G211" s="146">
        <f>F211</f>
        <v>0</v>
      </c>
      <c r="H211" s="37">
        <v>-592.596</v>
      </c>
      <c r="I211" s="37">
        <v>-594.87</v>
      </c>
      <c r="J211" s="37">
        <v>-591.99199999999996</v>
      </c>
      <c r="K211" s="37">
        <v>-577.476</v>
      </c>
      <c r="L211" s="146">
        <f>K211</f>
        <v>-577.476</v>
      </c>
      <c r="M211" s="165">
        <v>-565.09500000000003</v>
      </c>
      <c r="N211" s="165">
        <v>-542.75400000000002</v>
      </c>
      <c r="O211" s="165">
        <v>-538.79200000000003</v>
      </c>
      <c r="P211" s="37">
        <v>-581.95399999999995</v>
      </c>
      <c r="Q211" s="146">
        <f>P211</f>
        <v>-581.95399999999995</v>
      </c>
      <c r="R211" s="165">
        <v>-606.20699999999999</v>
      </c>
      <c r="S211" s="165">
        <v>-829.44600000000003</v>
      </c>
      <c r="T211" s="165">
        <v>-984.24900000000002</v>
      </c>
      <c r="U211" s="165">
        <v>-1027.194</v>
      </c>
      <c r="V211" s="146">
        <f>U211</f>
        <v>-1027.194</v>
      </c>
      <c r="W211" s="165">
        <f>Sheet!B38/1000</f>
        <v>-1052.623</v>
      </c>
      <c r="X211" s="161">
        <f>W211+X263+X264</f>
        <v>-1060.2889680596656</v>
      </c>
      <c r="Y211" s="161">
        <f>X211+Y263+Y264</f>
        <v>-1070.488742365842</v>
      </c>
      <c r="Z211" s="161">
        <f>Y211+Z263+Z264</f>
        <v>-1083.0548385518653</v>
      </c>
      <c r="AA211" s="146">
        <f>Z211</f>
        <v>-1083.0548385518653</v>
      </c>
      <c r="AB211" s="161">
        <f>Z211+AB263+AB264</f>
        <v>-1096.7139462354955</v>
      </c>
      <c r="AC211" s="161">
        <f>AB211+AC263+AC264</f>
        <v>-1110.6184447333101</v>
      </c>
      <c r="AD211" s="161">
        <f>AC211+AD263+AD264</f>
        <v>-1126.0351869677902</v>
      </c>
      <c r="AE211" s="161">
        <f>AD211+AE263+AE264</f>
        <v>-1141.6313750296961</v>
      </c>
      <c r="AF211" s="146">
        <f>AE211</f>
        <v>-1141.6313750296961</v>
      </c>
      <c r="AG211" s="161">
        <f>AE211+AG263+AG264</f>
        <v>-1157.7344639855303</v>
      </c>
      <c r="AH211" s="161">
        <f>AG211+AH263+AH264</f>
        <v>-1173.3030209116585</v>
      </c>
      <c r="AI211" s="161">
        <f>AH211+AI263+AI264</f>
        <v>-1190.1406143641452</v>
      </c>
      <c r="AJ211" s="161">
        <f>AI211+AJ263+AJ264</f>
        <v>-1207.1090457875887</v>
      </c>
      <c r="AK211" s="146">
        <f>AJ211</f>
        <v>-1207.1090457875887</v>
      </c>
      <c r="AL211" s="146">
        <f>AK211+AL263+AL264</f>
        <v>-1275.2912655431253</v>
      </c>
      <c r="AM211" s="146">
        <f>AL211+AM263+AM264</f>
        <v>-1346.4484891960699</v>
      </c>
      <c r="AN211" s="146">
        <f>AM211+AN263+AN264</f>
        <v>-1420.8782171361636</v>
      </c>
    </row>
    <row r="212" spans="1:40" ht="15" customHeight="1" x14ac:dyDescent="0.2">
      <c r="A212" s="121" t="s">
        <v>199</v>
      </c>
      <c r="G212" s="146">
        <f>F212</f>
        <v>0</v>
      </c>
      <c r="H212" s="37">
        <v>-9.9109999999999996</v>
      </c>
      <c r="I212" s="37">
        <v>-9.9629999999999992</v>
      </c>
      <c r="J212" s="37">
        <v>-9.76</v>
      </c>
      <c r="K212" s="37">
        <v>-9.2219999999999995</v>
      </c>
      <c r="L212" s="146">
        <f>K212</f>
        <v>-9.2219999999999995</v>
      </c>
      <c r="M212" s="165">
        <v>-9.4849999999999994</v>
      </c>
      <c r="N212" s="165">
        <v>-9.1029999999999998</v>
      </c>
      <c r="O212" s="165">
        <v>-8.15</v>
      </c>
      <c r="P212" s="37">
        <v>-7.9489999999999998</v>
      </c>
      <c r="Q212" s="146">
        <f>P212</f>
        <v>-7.9489999999999998</v>
      </c>
      <c r="R212" s="165">
        <v>-7.96</v>
      </c>
      <c r="S212" s="165">
        <v>-6.6779999999999999</v>
      </c>
      <c r="T212" s="165">
        <v>-6.7610000000000001</v>
      </c>
      <c r="U212" s="165">
        <v>-6.7809999999999997</v>
      </c>
      <c r="V212" s="146">
        <f>U212</f>
        <v>-6.7809999999999997</v>
      </c>
      <c r="W212" s="165">
        <f>Sheet!B39/1000</f>
        <v>-5.9749999999999996</v>
      </c>
      <c r="X212" s="153">
        <f>-X208</f>
        <v>-5.9749999999999996</v>
      </c>
      <c r="Y212" s="153">
        <f t="shared" ref="Y212:AL212" si="634">-Y208</f>
        <v>-5.9749999999999996</v>
      </c>
      <c r="Z212" s="153">
        <f t="shared" si="634"/>
        <v>-5.9749999999999996</v>
      </c>
      <c r="AA212" s="146">
        <f>Z212</f>
        <v>-5.9749999999999996</v>
      </c>
      <c r="AB212" s="153">
        <f t="shared" si="634"/>
        <v>-5.9749999999999996</v>
      </c>
      <c r="AC212" s="153">
        <f t="shared" si="634"/>
        <v>-5.9749999999999996</v>
      </c>
      <c r="AD212" s="153">
        <f t="shared" si="634"/>
        <v>-5.9749999999999996</v>
      </c>
      <c r="AE212" s="153">
        <f t="shared" si="634"/>
        <v>-5.9749999999999996</v>
      </c>
      <c r="AF212" s="146">
        <f>AE212</f>
        <v>-5.9749999999999996</v>
      </c>
      <c r="AG212" s="153">
        <f t="shared" si="634"/>
        <v>-5.9749999999999996</v>
      </c>
      <c r="AH212" s="153">
        <f t="shared" si="634"/>
        <v>-5.9749999999999996</v>
      </c>
      <c r="AI212" s="153">
        <f t="shared" si="634"/>
        <v>-5.9749999999999996</v>
      </c>
      <c r="AJ212" s="153">
        <f t="shared" si="634"/>
        <v>-5.9749999999999996</v>
      </c>
      <c r="AK212" s="146">
        <f>AJ212</f>
        <v>-5.9749999999999996</v>
      </c>
      <c r="AL212" s="146">
        <f t="shared" si="634"/>
        <v>-5.9749999999999996</v>
      </c>
      <c r="AM212" s="146">
        <f t="shared" ref="AM212:AN212" si="635">-AM208</f>
        <v>-5.9749999999999996</v>
      </c>
      <c r="AN212" s="146">
        <f t="shared" si="635"/>
        <v>-5.9749999999999996</v>
      </c>
    </row>
    <row r="213" spans="1:40" ht="15" customHeight="1" x14ac:dyDescent="0.2">
      <c r="A213" s="23" t="s">
        <v>200</v>
      </c>
      <c r="G213" s="174">
        <f>SUM(G210:G212)</f>
        <v>0</v>
      </c>
      <c r="H213" s="173">
        <f t="shared" ref="H213:J213" si="636">SUM(H210:H212)</f>
        <v>1798.6030000000001</v>
      </c>
      <c r="I213" s="173">
        <f t="shared" si="636"/>
        <v>1907.6940000000002</v>
      </c>
      <c r="J213" s="173">
        <f t="shared" si="636"/>
        <v>1909.7660000000001</v>
      </c>
      <c r="K213" s="173">
        <f>SUM(K210:K212)</f>
        <v>1992.6769999999999</v>
      </c>
      <c r="L213" s="174">
        <f>SUM(L210:L212)</f>
        <v>1992.6769999999999</v>
      </c>
      <c r="M213" s="173">
        <f t="shared" ref="M213:O213" si="637">SUM(M210:M212)</f>
        <v>2063.462</v>
      </c>
      <c r="N213" s="173">
        <f t="shared" si="637"/>
        <v>2133.3009999999999</v>
      </c>
      <c r="O213" s="173">
        <f t="shared" si="637"/>
        <v>2201.6869999999999</v>
      </c>
      <c r="P213" s="173">
        <f>SUM(P210:P212)</f>
        <v>2214.7809999999995</v>
      </c>
      <c r="Q213" s="174">
        <f>SUM(Q210:Q212)</f>
        <v>2214.7809999999995</v>
      </c>
      <c r="R213" s="175">
        <f>SUM(R210:R212)</f>
        <v>2223.4319999999998</v>
      </c>
      <c r="S213" s="175">
        <f t="shared" ref="S213:AL213" si="638">SUM(S210:S212)</f>
        <v>2051.8790000000004</v>
      </c>
      <c r="T213" s="175">
        <f t="shared" si="638"/>
        <v>1909.6130000000001</v>
      </c>
      <c r="U213" s="175">
        <f t="shared" si="638"/>
        <v>1901.1220000000003</v>
      </c>
      <c r="V213" s="174">
        <f>SUM(V210:V212)</f>
        <v>1901.1220000000003</v>
      </c>
      <c r="W213" s="175">
        <f t="shared" si="638"/>
        <v>1939.4349999999999</v>
      </c>
      <c r="X213" s="175">
        <f t="shared" si="638"/>
        <v>1955.3907706367502</v>
      </c>
      <c r="Y213" s="175">
        <f t="shared" si="638"/>
        <v>1980.0768345348683</v>
      </c>
      <c r="Z213" s="175">
        <f t="shared" si="638"/>
        <v>2011.6761884288537</v>
      </c>
      <c r="AA213" s="174">
        <f>SUM(AA210:AA212)</f>
        <v>2011.6761884288537</v>
      </c>
      <c r="AB213" s="175">
        <f t="shared" si="638"/>
        <v>2052.8568499080725</v>
      </c>
      <c r="AC213" s="175">
        <f t="shared" si="638"/>
        <v>2085.5515300655911</v>
      </c>
      <c r="AD213" s="175">
        <f t="shared" si="638"/>
        <v>2123.9267579660941</v>
      </c>
      <c r="AE213" s="175">
        <f t="shared" si="638"/>
        <v>2162.6650789977525</v>
      </c>
      <c r="AF213" s="174">
        <f>SUM(AF210:AF212)</f>
        <v>2162.6650789977525</v>
      </c>
      <c r="AG213" s="175">
        <f t="shared" si="638"/>
        <v>2208.9076292150871</v>
      </c>
      <c r="AH213" s="175">
        <f t="shared" si="638"/>
        <v>2244.3334190510045</v>
      </c>
      <c r="AI213" s="175">
        <f t="shared" si="638"/>
        <v>2284.718588571594</v>
      </c>
      <c r="AJ213" s="175">
        <f t="shared" si="638"/>
        <v>2325.3294858992426</v>
      </c>
      <c r="AK213" s="174">
        <f>SUM(AK210:AK212)</f>
        <v>2325.3294858992426</v>
      </c>
      <c r="AL213" s="174">
        <f t="shared" si="638"/>
        <v>2486.1285478913428</v>
      </c>
      <c r="AM213" s="174">
        <f t="shared" ref="AM213:AN213" si="639">SUM(AM210:AM212)</f>
        <v>2644.2481107117833</v>
      </c>
      <c r="AN213" s="174">
        <f t="shared" si="639"/>
        <v>2799.0105568535259</v>
      </c>
    </row>
    <row r="214" spans="1:40" ht="15" customHeight="1" x14ac:dyDescent="0.2">
      <c r="A214" s="1"/>
      <c r="G214" s="177"/>
      <c r="H214" s="176"/>
      <c r="I214" s="176"/>
      <c r="J214" s="176"/>
      <c r="K214" s="176"/>
      <c r="L214" s="177"/>
      <c r="M214" s="178"/>
      <c r="N214" s="178"/>
      <c r="O214" s="178"/>
      <c r="P214" s="178"/>
      <c r="Q214" s="177"/>
      <c r="R214" s="178"/>
      <c r="S214" s="178"/>
      <c r="T214" s="178"/>
      <c r="U214" s="178"/>
      <c r="V214" s="177"/>
      <c r="AA214" s="177"/>
      <c r="AF214" s="177"/>
      <c r="AK214" s="177"/>
      <c r="AL214" s="177"/>
      <c r="AM214" s="177"/>
      <c r="AN214" s="177"/>
    </row>
    <row r="215" spans="1:40" ht="15" customHeight="1" thickBot="1" x14ac:dyDescent="0.25">
      <c r="A215" s="29" t="s">
        <v>201</v>
      </c>
      <c r="G215" s="180">
        <f>G203+G213</f>
        <v>0</v>
      </c>
      <c r="H215" s="179">
        <f t="shared" ref="H215:J215" si="640">H203+H213</f>
        <v>4007.1689999999999</v>
      </c>
      <c r="I215" s="179">
        <f t="shared" si="640"/>
        <v>4060.2760000000007</v>
      </c>
      <c r="J215" s="179">
        <f t="shared" si="640"/>
        <v>3906.6689999999999</v>
      </c>
      <c r="K215" s="179">
        <f>K203+K213</f>
        <v>3903.3360000000002</v>
      </c>
      <c r="L215" s="180">
        <f>L203+L213</f>
        <v>3903.3360000000002</v>
      </c>
      <c r="M215" s="169">
        <f t="shared" ref="M215:O215" si="641">M203+M213</f>
        <v>3959.5050000000001</v>
      </c>
      <c r="N215" s="169">
        <f t="shared" si="641"/>
        <v>4020.7719999999999</v>
      </c>
      <c r="O215" s="169">
        <f t="shared" si="641"/>
        <v>4088.6549999999997</v>
      </c>
      <c r="P215" s="169">
        <f>P203+P213</f>
        <v>4091.0039999999995</v>
      </c>
      <c r="Q215" s="180">
        <f>Q203+Q213</f>
        <v>4091.0039999999995</v>
      </c>
      <c r="R215" s="169">
        <f>R203+R213</f>
        <v>4035.24</v>
      </c>
      <c r="S215" s="169">
        <f t="shared" ref="S215:AL215" si="642">S203+S213</f>
        <v>3890.5440000000003</v>
      </c>
      <c r="T215" s="169">
        <f t="shared" si="642"/>
        <v>3755.7889999999998</v>
      </c>
      <c r="U215" s="169">
        <f t="shared" si="642"/>
        <v>3806.4459999999999</v>
      </c>
      <c r="V215" s="180">
        <f>V203+V213</f>
        <v>3806.4459999999999</v>
      </c>
      <c r="W215" s="169">
        <f t="shared" si="642"/>
        <v>3894.808</v>
      </c>
      <c r="X215" s="169">
        <f t="shared" si="642"/>
        <v>3943.5491265976361</v>
      </c>
      <c r="Y215" s="169">
        <f t="shared" si="642"/>
        <v>3986.7090058015233</v>
      </c>
      <c r="Z215" s="169">
        <f t="shared" si="642"/>
        <v>4029.1224763222299</v>
      </c>
      <c r="AA215" s="180">
        <f>AA203+AA213</f>
        <v>4029.1224763222299</v>
      </c>
      <c r="AB215" s="169">
        <f t="shared" si="642"/>
        <v>4073.1770570662648</v>
      </c>
      <c r="AC215" s="169">
        <f t="shared" si="642"/>
        <v>4103.0883244179849</v>
      </c>
      <c r="AD215" s="169">
        <f t="shared" si="642"/>
        <v>4170.1267430566122</v>
      </c>
      <c r="AE215" s="169">
        <f t="shared" si="642"/>
        <v>4209.9260487401843</v>
      </c>
      <c r="AF215" s="180">
        <f>AF203+AF213</f>
        <v>4209.9260487401843</v>
      </c>
      <c r="AG215" s="169">
        <f t="shared" si="642"/>
        <v>4267.5284737076236</v>
      </c>
      <c r="AH215" s="169">
        <f t="shared" si="642"/>
        <v>4297.0027533802604</v>
      </c>
      <c r="AI215" s="169">
        <f t="shared" si="642"/>
        <v>4362.9495404510326</v>
      </c>
      <c r="AJ215" s="169">
        <f t="shared" si="642"/>
        <v>4403.3430404180071</v>
      </c>
      <c r="AK215" s="180">
        <f>AK203+AK213</f>
        <v>4403.3430404180071</v>
      </c>
      <c r="AL215" s="180">
        <f t="shared" si="642"/>
        <v>4579.6858393953826</v>
      </c>
      <c r="AM215" s="180">
        <f t="shared" ref="AM215:AN215" si="643">AM203+AM213</f>
        <v>4754.9035128996238</v>
      </c>
      <c r="AN215" s="180">
        <f t="shared" si="643"/>
        <v>4928.4738807935491</v>
      </c>
    </row>
    <row r="216" spans="1:40" ht="15" customHeight="1" thickTop="1" x14ac:dyDescent="0.2">
      <c r="G216" s="154"/>
      <c r="L216" s="154"/>
      <c r="M216" s="178"/>
      <c r="N216" s="178"/>
      <c r="O216" s="178"/>
      <c r="P216" s="178"/>
      <c r="Q216" s="154"/>
      <c r="V216" s="154"/>
      <c r="AA216" s="154"/>
      <c r="AF216" s="154"/>
      <c r="AK216" s="154"/>
      <c r="AL216" s="154"/>
      <c r="AM216" s="154"/>
      <c r="AN216" s="154"/>
    </row>
    <row r="217" spans="1:40" ht="15" customHeight="1" x14ac:dyDescent="0.2">
      <c r="A217" s="289" t="s">
        <v>346</v>
      </c>
      <c r="B217" s="290"/>
      <c r="C217" s="290"/>
      <c r="D217" s="290"/>
      <c r="E217" s="290"/>
      <c r="F217" s="290"/>
      <c r="G217" s="291">
        <f t="shared" ref="G217" si="644">G215-G190</f>
        <v>0</v>
      </c>
      <c r="H217" s="292">
        <f>H215-H190</f>
        <v>0</v>
      </c>
      <c r="I217" s="290">
        <f t="shared" ref="I217:AN217" si="645">I215-I190</f>
        <v>0</v>
      </c>
      <c r="J217" s="290">
        <f t="shared" si="645"/>
        <v>0</v>
      </c>
      <c r="K217" s="290">
        <f t="shared" si="645"/>
        <v>0</v>
      </c>
      <c r="L217" s="291">
        <f t="shared" si="645"/>
        <v>0</v>
      </c>
      <c r="M217" s="290">
        <f t="shared" si="645"/>
        <v>0</v>
      </c>
      <c r="N217" s="292">
        <f t="shared" si="645"/>
        <v>0</v>
      </c>
      <c r="O217" s="292">
        <f t="shared" si="645"/>
        <v>0</v>
      </c>
      <c r="P217" s="292">
        <f t="shared" si="645"/>
        <v>0</v>
      </c>
      <c r="Q217" s="291">
        <f t="shared" si="645"/>
        <v>0</v>
      </c>
      <c r="R217" s="292">
        <f t="shared" si="645"/>
        <v>0</v>
      </c>
      <c r="S217" s="292">
        <f t="shared" si="645"/>
        <v>0</v>
      </c>
      <c r="T217" s="292">
        <f t="shared" si="645"/>
        <v>0</v>
      </c>
      <c r="U217" s="292">
        <f t="shared" si="645"/>
        <v>0</v>
      </c>
      <c r="V217" s="291">
        <f t="shared" si="645"/>
        <v>0</v>
      </c>
      <c r="W217" s="292">
        <f t="shared" si="645"/>
        <v>0</v>
      </c>
      <c r="X217" s="292">
        <f t="shared" si="645"/>
        <v>0</v>
      </c>
      <c r="Y217" s="292">
        <f t="shared" si="645"/>
        <v>0</v>
      </c>
      <c r="Z217" s="292">
        <f t="shared" si="645"/>
        <v>0</v>
      </c>
      <c r="AA217" s="291">
        <f t="shared" si="645"/>
        <v>0</v>
      </c>
      <c r="AB217" s="292">
        <f t="shared" si="645"/>
        <v>0</v>
      </c>
      <c r="AC217" s="292">
        <f t="shared" si="645"/>
        <v>0</v>
      </c>
      <c r="AD217" s="292">
        <f t="shared" si="645"/>
        <v>0</v>
      </c>
      <c r="AE217" s="292">
        <f t="shared" si="645"/>
        <v>0</v>
      </c>
      <c r="AF217" s="291">
        <f t="shared" si="645"/>
        <v>0</v>
      </c>
      <c r="AG217" s="292">
        <f t="shared" si="645"/>
        <v>0</v>
      </c>
      <c r="AH217" s="292">
        <f t="shared" si="645"/>
        <v>0</v>
      </c>
      <c r="AI217" s="292">
        <f t="shared" si="645"/>
        <v>0</v>
      </c>
      <c r="AJ217" s="292">
        <f t="shared" si="645"/>
        <v>0</v>
      </c>
      <c r="AK217" s="291">
        <f t="shared" si="645"/>
        <v>0</v>
      </c>
      <c r="AL217" s="291">
        <f t="shared" si="645"/>
        <v>0</v>
      </c>
      <c r="AM217" s="291">
        <f t="shared" si="645"/>
        <v>0</v>
      </c>
      <c r="AN217" s="291">
        <f t="shared" si="645"/>
        <v>0</v>
      </c>
    </row>
    <row r="218" spans="1:40" ht="15" customHeight="1" x14ac:dyDescent="0.2">
      <c r="G218" s="154"/>
      <c r="L218" s="154"/>
      <c r="M218" s="178"/>
      <c r="N218" s="178"/>
      <c r="O218" s="178"/>
      <c r="P218" s="178"/>
      <c r="Q218" s="154"/>
      <c r="V218" s="154"/>
      <c r="AA218" s="154"/>
      <c r="AF218" s="154"/>
      <c r="AK218" s="154"/>
      <c r="AL218" s="154"/>
      <c r="AM218" s="154"/>
      <c r="AN218" s="154"/>
    </row>
    <row r="219" spans="1:40" ht="15" customHeight="1" x14ac:dyDescent="0.2">
      <c r="A219" s="20" t="s">
        <v>409</v>
      </c>
      <c r="B219" s="162"/>
      <c r="C219" s="162"/>
      <c r="D219" s="162"/>
      <c r="E219" s="162"/>
      <c r="F219" s="162"/>
      <c r="G219" s="163"/>
      <c r="H219" s="162"/>
      <c r="I219" s="162"/>
      <c r="J219" s="162"/>
      <c r="K219" s="162"/>
      <c r="L219" s="163"/>
      <c r="M219" s="181"/>
      <c r="N219" s="181"/>
      <c r="O219" s="181"/>
      <c r="P219" s="181"/>
      <c r="Q219" s="163"/>
      <c r="R219" s="162"/>
      <c r="S219" s="162"/>
      <c r="T219" s="162"/>
      <c r="U219" s="162"/>
      <c r="V219" s="163"/>
      <c r="W219" s="162"/>
      <c r="X219" s="162"/>
      <c r="Y219" s="162"/>
      <c r="Z219" s="162"/>
      <c r="AA219" s="163"/>
      <c r="AB219" s="162"/>
      <c r="AC219" s="162"/>
      <c r="AD219" s="162"/>
      <c r="AE219" s="162"/>
      <c r="AF219" s="163"/>
      <c r="AG219" s="162"/>
      <c r="AH219" s="162"/>
      <c r="AI219" s="162"/>
      <c r="AJ219" s="162"/>
      <c r="AK219" s="163"/>
      <c r="AL219" s="163"/>
      <c r="AM219" s="163"/>
      <c r="AN219" s="163"/>
    </row>
    <row r="220" spans="1:40" ht="15" customHeight="1" x14ac:dyDescent="0.2">
      <c r="A220" s="121" t="s">
        <v>166</v>
      </c>
      <c r="G220" s="164">
        <f>G$177/G$120*(365)</f>
        <v>0</v>
      </c>
      <c r="H220" s="161">
        <f>H177/H$120*90</f>
        <v>71.520111611635926</v>
      </c>
      <c r="I220" s="161">
        <f>AVERAGE(I$177,H$177)/I$120*(I$8-H$8)</f>
        <v>74.146578128905048</v>
      </c>
      <c r="J220" s="161">
        <f>AVERAGE(J$177,I$177)/J$120*(J$8-I$8)</f>
        <v>98.911899180262139</v>
      </c>
      <c r="K220" s="161">
        <f>AVERAGE(K$177,J$177)/K$120*(K$8-J$8)</f>
        <v>93.123366160703554</v>
      </c>
      <c r="L220" s="164">
        <f>L$177/L$120*(365)</f>
        <v>78.682537520059782</v>
      </c>
      <c r="M220" s="161">
        <f>AVERAGE(M$177,K$177)/M$120*(M$8-K$8)</f>
        <v>89.644465690386696</v>
      </c>
      <c r="N220" s="161">
        <f>AVERAGE(N$177,M$177)/N$120*(N$8-M$8)</f>
        <v>84.979426169018481</v>
      </c>
      <c r="O220" s="161">
        <f>AVERAGE(O$177,N$177)/O$120*(O$8-N$8)</f>
        <v>94.813524049041177</v>
      </c>
      <c r="P220" s="161">
        <f>AVERAGE(P$177,O$177)/P$120*(P$8-O$8)</f>
        <v>88.334307816147202</v>
      </c>
      <c r="Q220" s="164">
        <f>Q$177/Q$120*(365)</f>
        <v>85.007968093784399</v>
      </c>
      <c r="R220" s="161">
        <f>AVERAGE(R$177,P$177)/R$120*(R$8-P$8)</f>
        <v>87.421539700066106</v>
      </c>
      <c r="S220" s="161">
        <f>AVERAGE(S$177,R$177)/S$120*(S$8-R$8)</f>
        <v>82.923169727983307</v>
      </c>
      <c r="T220" s="161">
        <f>AVERAGE(T$177,S$177)/T$120*(T$8-S$8)</f>
        <v>86.115911266220877</v>
      </c>
      <c r="U220" s="161">
        <f>AVERAGE(U$177,T$177)/U$120*(U$8-T$8)</f>
        <v>86.0665934412757</v>
      </c>
      <c r="V220" s="164">
        <f>V$177/V$120*(365)</f>
        <v>93.435367783144969</v>
      </c>
      <c r="W220" s="161">
        <f>AVERAGE(W$177,U$177)/W$120*(W$8-U$8)</f>
        <v>89.752791298036428</v>
      </c>
      <c r="X220" s="131">
        <f>W220</f>
        <v>89.752791298036428</v>
      </c>
      <c r="Y220" s="131">
        <f t="shared" ref="Y220:AJ220" si="646">X220</f>
        <v>89.752791298036428</v>
      </c>
      <c r="Z220" s="131">
        <f t="shared" si="646"/>
        <v>89.752791298036428</v>
      </c>
      <c r="AA220" s="164">
        <f>AA$177/AA$120*(365)</f>
        <v>94.230018385661154</v>
      </c>
      <c r="AB220" s="131">
        <f>Z220</f>
        <v>89.752791298036428</v>
      </c>
      <c r="AC220" s="131">
        <f t="shared" si="646"/>
        <v>89.752791298036428</v>
      </c>
      <c r="AD220" s="131">
        <f t="shared" si="646"/>
        <v>89.752791298036428</v>
      </c>
      <c r="AE220" s="131">
        <f t="shared" si="646"/>
        <v>89.752791298036428</v>
      </c>
      <c r="AF220" s="164">
        <f>AF$177/AF$120*(365)</f>
        <v>91.923351721868812</v>
      </c>
      <c r="AG220" s="131">
        <f>AE220</f>
        <v>89.752791298036428</v>
      </c>
      <c r="AH220" s="131">
        <f t="shared" si="646"/>
        <v>89.752791298036428</v>
      </c>
      <c r="AI220" s="131">
        <f t="shared" si="646"/>
        <v>89.752791298036428</v>
      </c>
      <c r="AJ220" s="131">
        <f t="shared" si="646"/>
        <v>89.752791298036428</v>
      </c>
      <c r="AK220" s="164">
        <f>AK$177/AK$120*(365)</f>
        <v>91.319410704737663</v>
      </c>
      <c r="AL220" s="164">
        <f>AK220</f>
        <v>91.319410704737663</v>
      </c>
      <c r="AM220" s="164">
        <f t="shared" ref="AM220:AN220" si="647">AL220</f>
        <v>91.319410704737663</v>
      </c>
      <c r="AN220" s="164">
        <f t="shared" si="647"/>
        <v>91.319410704737663</v>
      </c>
    </row>
    <row r="221" spans="1:40" ht="15" customHeight="1" x14ac:dyDescent="0.2">
      <c r="A221" s="121" t="s">
        <v>167</v>
      </c>
      <c r="G221" s="164">
        <f>G$178/G$120*365</f>
        <v>0</v>
      </c>
      <c r="H221" s="161">
        <f>H178/H$120*90</f>
        <v>65.001200796829337</v>
      </c>
      <c r="I221" s="161">
        <f>AVERAGE(I$178,H$178)/I$120*(I$8-H$8)</f>
        <v>66.407939240787542</v>
      </c>
      <c r="J221" s="161">
        <f>AVERAGE(J$178,I$178)/J$120*(J$8-I$8)</f>
        <v>90.06164165199894</v>
      </c>
      <c r="K221" s="161">
        <f>AVERAGE(K$178,J$178)/K$120*(K$8-J$8)</f>
        <v>81.727269304903032</v>
      </c>
      <c r="L221" s="164">
        <f>L$178/L$120*365</f>
        <v>64.050741986604763</v>
      </c>
      <c r="M221" s="161">
        <f>AVERAGE(M$178,K$178)/M$120*(M$8-K$8)</f>
        <v>75.586383665755847</v>
      </c>
      <c r="N221" s="161">
        <f>AVERAGE(N$178,M$178)/N$120*(N$8-M$8)</f>
        <v>67.175071948200738</v>
      </c>
      <c r="O221" s="161">
        <f>AVERAGE(O$178,N$178)/O$120*(O$8-N$8)</f>
        <v>69.459723357434768</v>
      </c>
      <c r="P221" s="161">
        <f>AVERAGE(P$178,O$178)/P$120*(P$8-O$8)</f>
        <v>68.365723926154431</v>
      </c>
      <c r="Q221" s="164">
        <f>Q$178/Q$120*365</f>
        <v>68.255067609687629</v>
      </c>
      <c r="R221" s="161">
        <f>AVERAGE(R$178,P$178)/R$120*(R$8-P$8)</f>
        <v>74.047390442145854</v>
      </c>
      <c r="S221" s="161">
        <f>AVERAGE(S$178,R$178)/S$120*(S$8-R$8)</f>
        <v>71.833185933450238</v>
      </c>
      <c r="T221" s="161">
        <f>AVERAGE(T$178,S$178)/T$120*(T$8-S$8)</f>
        <v>73.219632869523323</v>
      </c>
      <c r="U221" s="161">
        <f>AVERAGE(U$178,T$178)/U$120*(U$8-T$8)</f>
        <v>73.16145573743853</v>
      </c>
      <c r="V221" s="164">
        <f>V$178/V$120*365</f>
        <v>78.779395162813344</v>
      </c>
      <c r="W221" s="161">
        <f>AVERAGE(W$178,U$178)/W$120*(W$8-U$8)</f>
        <v>80.911782534969021</v>
      </c>
      <c r="X221" s="131">
        <f t="shared" ref="X221:AJ223" si="648">W221</f>
        <v>80.911782534969021</v>
      </c>
      <c r="Y221" s="131">
        <f t="shared" si="648"/>
        <v>80.911782534969021</v>
      </c>
      <c r="Z221" s="131">
        <f t="shared" si="648"/>
        <v>80.911782534969021</v>
      </c>
      <c r="AA221" s="164">
        <f>AA$178/AA$120*365</f>
        <v>84.947984855079923</v>
      </c>
      <c r="AB221" s="131">
        <f>Z221</f>
        <v>80.911782534969021</v>
      </c>
      <c r="AC221" s="131">
        <f t="shared" si="648"/>
        <v>80.911782534969021</v>
      </c>
      <c r="AD221" s="131">
        <f t="shared" si="648"/>
        <v>80.911782534969021</v>
      </c>
      <c r="AE221" s="131">
        <f t="shared" si="648"/>
        <v>80.911782534969021</v>
      </c>
      <c r="AF221" s="164">
        <f>AF$178/AF$120*365</f>
        <v>82.868534079430191</v>
      </c>
      <c r="AG221" s="131">
        <f>AE221</f>
        <v>80.911782534969021</v>
      </c>
      <c r="AH221" s="131">
        <f t="shared" si="648"/>
        <v>80.911782534969021</v>
      </c>
      <c r="AI221" s="131">
        <f t="shared" si="648"/>
        <v>80.911782534969021</v>
      </c>
      <c r="AJ221" s="131">
        <f t="shared" si="648"/>
        <v>80.911782534969021</v>
      </c>
      <c r="AK221" s="164">
        <f>AK$178/AK$120*365</f>
        <v>82.324083666965635</v>
      </c>
      <c r="AL221" s="164">
        <f>AK221</f>
        <v>82.324083666965635</v>
      </c>
      <c r="AM221" s="164">
        <f t="shared" ref="AM221:AN221" si="649">AL221</f>
        <v>82.324083666965635</v>
      </c>
      <c r="AN221" s="164">
        <f t="shared" si="649"/>
        <v>82.324083666965635</v>
      </c>
    </row>
    <row r="222" spans="1:40" ht="15" customHeight="1" x14ac:dyDescent="0.2">
      <c r="A222" s="121" t="s">
        <v>318</v>
      </c>
      <c r="G222" s="147">
        <f>G180/G$120</f>
        <v>0</v>
      </c>
      <c r="H222" s="32">
        <f>H180/H$120</f>
        <v>0.11069125639441663</v>
      </c>
      <c r="I222" s="32">
        <f>I180/I$120</f>
        <v>9.3611674210657858E-2</v>
      </c>
      <c r="J222" s="32">
        <f>J180/J$120</f>
        <v>0.10965664170926988</v>
      </c>
      <c r="K222" s="32">
        <f>K180/K$120</f>
        <v>9.9359263944103146E-2</v>
      </c>
      <c r="L222" s="147">
        <f>L180/L$120</f>
        <v>2.1151075965724568E-2</v>
      </c>
      <c r="M222" s="32">
        <f>M180/M$120</f>
        <v>0.10304137316575493</v>
      </c>
      <c r="N222" s="32">
        <f>N180/N$120</f>
        <v>6.8332298334310981E-2</v>
      </c>
      <c r="O222" s="32">
        <f>O180/O$120</f>
        <v>9.1178874567745982E-2</v>
      </c>
      <c r="P222" s="32">
        <f>P180/P$120</f>
        <v>0.1072714422754846</v>
      </c>
      <c r="Q222" s="147">
        <f>Q180/Q$120</f>
        <v>2.723623138329136E-2</v>
      </c>
      <c r="R222" s="32">
        <f>R180/R$120</f>
        <v>9.743789536657152E-2</v>
      </c>
      <c r="S222" s="32">
        <f>S180/S$120</f>
        <v>7.7556195140404779E-2</v>
      </c>
      <c r="T222" s="32">
        <f>T180/T$120</f>
        <v>8.0406034522049974E-2</v>
      </c>
      <c r="U222" s="32">
        <f>U180/U$120</f>
        <v>0.11670491990256751</v>
      </c>
      <c r="V222" s="147">
        <f>V180/V$120</f>
        <v>3.1347705840632199E-2</v>
      </c>
      <c r="W222" s="32">
        <f>W180/W$120</f>
        <v>0.13615650343749544</v>
      </c>
      <c r="X222" s="132">
        <f t="shared" si="648"/>
        <v>0.13615650343749544</v>
      </c>
      <c r="Y222" s="132">
        <f t="shared" si="648"/>
        <v>0.13615650343749544</v>
      </c>
      <c r="Z222" s="132">
        <f t="shared" si="648"/>
        <v>0.13615650343749544</v>
      </c>
      <c r="AA222" s="147">
        <f>AA180/AA$120</f>
        <v>3.603086303800105E-2</v>
      </c>
      <c r="AB222" s="132">
        <f>Z222</f>
        <v>0.13615650343749544</v>
      </c>
      <c r="AC222" s="132">
        <f t="shared" si="648"/>
        <v>0.13615650343749544</v>
      </c>
      <c r="AD222" s="132">
        <f t="shared" si="648"/>
        <v>0.13615650343749544</v>
      </c>
      <c r="AE222" s="132">
        <f t="shared" si="648"/>
        <v>0.13615650343749544</v>
      </c>
      <c r="AF222" s="147">
        <f>AF180/AF$120</f>
        <v>3.514885970125893E-2</v>
      </c>
      <c r="AG222" s="132">
        <f>AE222</f>
        <v>0.13615650343749544</v>
      </c>
      <c r="AH222" s="132">
        <f t="shared" si="648"/>
        <v>0.13615650343749544</v>
      </c>
      <c r="AI222" s="132">
        <f t="shared" si="648"/>
        <v>0.13615650343749544</v>
      </c>
      <c r="AJ222" s="132">
        <f t="shared" si="648"/>
        <v>0.13615650343749544</v>
      </c>
      <c r="AK222" s="147">
        <f>AK180/AK$120</f>
        <v>3.491792993552098E-2</v>
      </c>
      <c r="AL222" s="147">
        <f>AK222</f>
        <v>3.491792993552098E-2</v>
      </c>
      <c r="AM222" s="147">
        <f t="shared" ref="AM222:AN222" si="650">AL222</f>
        <v>3.491792993552098E-2</v>
      </c>
      <c r="AN222" s="147">
        <f t="shared" si="650"/>
        <v>3.491792993552098E-2</v>
      </c>
    </row>
    <row r="223" spans="1:40" ht="15" customHeight="1" x14ac:dyDescent="0.2">
      <c r="A223" s="121" t="s">
        <v>168</v>
      </c>
      <c r="G223" s="164">
        <f>G$193/G$120*365</f>
        <v>0</v>
      </c>
      <c r="H223" s="161">
        <f>H193/H$120*90</f>
        <v>27.297290919060739</v>
      </c>
      <c r="I223" s="161">
        <f>AVERAGE(I$193,H$193)/I$120*(I$8-H$8)</f>
        <v>27.620613840215487</v>
      </c>
      <c r="J223" s="161">
        <f>AVERAGE(J$193,I$193)/J$120*(J$8-I$8)</f>
        <v>32.97309411903953</v>
      </c>
      <c r="K223" s="161">
        <f>AVERAGE(K$193,J$193)/K$120*(K$8-J$8)</f>
        <v>25.554025870377071</v>
      </c>
      <c r="L223" s="164">
        <f>L$193/L$120*365</f>
        <v>19.633376274459913</v>
      </c>
      <c r="M223" s="161">
        <f>AVERAGE(M$193,K$193)/M$120*(M$8-K$8)</f>
        <v>25.053541634503244</v>
      </c>
      <c r="N223" s="161">
        <f>AVERAGE(N$193,M$193)/N$120*(N$8-M$8)</f>
        <v>24.870484637575455</v>
      </c>
      <c r="O223" s="161">
        <f>AVERAGE(O$193,N$193)/O$120*(O$8-N$8)</f>
        <v>26.64268469034894</v>
      </c>
      <c r="P223" s="161">
        <f>AVERAGE(P$193,O$193)/P$120*(P$8-O$8)</f>
        <v>26.956793641718853</v>
      </c>
      <c r="Q223" s="164">
        <f>Q$193/Q$120*365</f>
        <v>27.776692557591129</v>
      </c>
      <c r="R223" s="161">
        <f>AVERAGE(R$193,P$193)/R$120*(R$8-P$8)</f>
        <v>28.604313996299751</v>
      </c>
      <c r="S223" s="161">
        <f>AVERAGE(S$193,R$193)/S$120*(S$8-R$8)</f>
        <v>27.176874747588354</v>
      </c>
      <c r="T223" s="161">
        <f>AVERAGE(T$193,S$193)/T$120*(T$8-S$8)</f>
        <v>28.436574197665106</v>
      </c>
      <c r="U223" s="161">
        <f>AVERAGE(U$193,T$193)/U$120*(U$8-T$8)</f>
        <v>30.611493469867959</v>
      </c>
      <c r="V223" s="164">
        <f>V$193/V$120*365</f>
        <v>35.311309431380863</v>
      </c>
      <c r="W223" s="161">
        <f>AVERAGE(W$193,U$193)/W$120*(W$8-U$8)</f>
        <v>33.453004191594502</v>
      </c>
      <c r="X223" s="131">
        <f t="shared" si="648"/>
        <v>33.453004191594502</v>
      </c>
      <c r="Y223" s="131">
        <f t="shared" si="648"/>
        <v>33.453004191594502</v>
      </c>
      <c r="Z223" s="131">
        <f t="shared" si="648"/>
        <v>33.453004191594502</v>
      </c>
      <c r="AA223" s="164">
        <f>AA$193/AA$120*365</f>
        <v>35.121773422756078</v>
      </c>
      <c r="AB223" s="131">
        <f>Z223</f>
        <v>33.453004191594502</v>
      </c>
      <c r="AC223" s="131">
        <f t="shared" si="648"/>
        <v>33.453004191594502</v>
      </c>
      <c r="AD223" s="131">
        <f t="shared" si="648"/>
        <v>33.453004191594502</v>
      </c>
      <c r="AE223" s="131">
        <f t="shared" si="648"/>
        <v>33.453004191594502</v>
      </c>
      <c r="AF223" s="164">
        <f>AF$193/AF$120*365</f>
        <v>34.262023787603006</v>
      </c>
      <c r="AG223" s="131">
        <f>AE223</f>
        <v>33.453004191594502</v>
      </c>
      <c r="AH223" s="131">
        <f t="shared" si="648"/>
        <v>33.453004191594502</v>
      </c>
      <c r="AI223" s="131">
        <f t="shared" si="648"/>
        <v>33.453004191594502</v>
      </c>
      <c r="AJ223" s="131">
        <f t="shared" si="648"/>
        <v>33.453004191594502</v>
      </c>
      <c r="AK223" s="164">
        <f>AK$193/AK$120*365</f>
        <v>34.036920578161038</v>
      </c>
      <c r="AL223" s="164">
        <f>AK223</f>
        <v>34.036920578161038</v>
      </c>
      <c r="AM223" s="164">
        <f t="shared" ref="AM223:AN223" si="651">AL223</f>
        <v>34.036920578161038</v>
      </c>
      <c r="AN223" s="164">
        <f t="shared" si="651"/>
        <v>34.036920578161038</v>
      </c>
    </row>
    <row r="224" spans="1:40" ht="15" customHeight="1" x14ac:dyDescent="0.2">
      <c r="A224" s="121" t="s">
        <v>319</v>
      </c>
      <c r="G224" s="147">
        <f>G195/G$120</f>
        <v>0</v>
      </c>
      <c r="H224" s="32">
        <f>H195/H$120</f>
        <v>0.23334189392729973</v>
      </c>
      <c r="I224" s="32">
        <f>I195/I$120</f>
        <v>0.21459970564549719</v>
      </c>
      <c r="J224" s="32">
        <f>J195/J$120</f>
        <v>0.30982616364976151</v>
      </c>
      <c r="K224" s="32">
        <f>K195/K$120</f>
        <v>0.28572235272858698</v>
      </c>
      <c r="L224" s="147">
        <f>L195/L$120</f>
        <v>6.0823067198522242E-2</v>
      </c>
      <c r="M224" s="32">
        <f>M195/M$120</f>
        <v>0.29004183259892224</v>
      </c>
      <c r="N224" s="32">
        <f>N195/N$120</f>
        <v>0.28271815399753319</v>
      </c>
      <c r="O224" s="32">
        <f>O195/O$120</f>
        <v>0.29385188844478377</v>
      </c>
      <c r="P224" s="32">
        <f>P195/P$120</f>
        <v>0.32117421963919002</v>
      </c>
      <c r="Q224" s="147">
        <f>Q195/Q$120</f>
        <v>8.1546170862290684E-2</v>
      </c>
      <c r="R224" s="32">
        <f>R195/R$120</f>
        <v>0.26997189735332888</v>
      </c>
      <c r="S224" s="32">
        <f>S195/S$120</f>
        <v>0.27663975979783212</v>
      </c>
      <c r="T224" s="32">
        <f>T195/T$120</f>
        <v>0.26158656882597681</v>
      </c>
      <c r="U224" s="32">
        <f>U195/U$120</f>
        <v>0.32230056887691727</v>
      </c>
      <c r="V224" s="147">
        <f>V195/V$120</f>
        <v>8.65720436966749E-2</v>
      </c>
      <c r="W224" s="32">
        <f>W195/W$120</f>
        <v>0.30937135781474545</v>
      </c>
      <c r="X224" s="133">
        <f>W224</f>
        <v>0.30937135781474545</v>
      </c>
      <c r="Y224" s="133">
        <f t="shared" ref="Y224:AJ224" si="652">X224</f>
        <v>0.30937135781474545</v>
      </c>
      <c r="Z224" s="133">
        <f t="shared" si="652"/>
        <v>0.30937135781474545</v>
      </c>
      <c r="AA224" s="147">
        <f>AA195/AA$120</f>
        <v>8.1868414213652735E-2</v>
      </c>
      <c r="AB224" s="133">
        <f>Z224</f>
        <v>0.30937135781474545</v>
      </c>
      <c r="AC224" s="133">
        <f t="shared" si="652"/>
        <v>0.30937135781474545</v>
      </c>
      <c r="AD224" s="133">
        <f t="shared" si="652"/>
        <v>0.30937135781474545</v>
      </c>
      <c r="AE224" s="133">
        <f t="shared" si="652"/>
        <v>0.30937135781474545</v>
      </c>
      <c r="AF224" s="147">
        <f>AF195/AF$120</f>
        <v>7.986434857597785E-2</v>
      </c>
      <c r="AG224" s="133">
        <f>AE224</f>
        <v>0.30937135781474545</v>
      </c>
      <c r="AH224" s="133">
        <f t="shared" si="652"/>
        <v>0.30937135781474545</v>
      </c>
      <c r="AI224" s="133">
        <f t="shared" si="652"/>
        <v>0.30937135781474545</v>
      </c>
      <c r="AJ224" s="133">
        <f t="shared" si="652"/>
        <v>0.30937135781474545</v>
      </c>
      <c r="AK224" s="147">
        <f>AK195/AK$120</f>
        <v>7.9339635812485168E-2</v>
      </c>
      <c r="AL224" s="147">
        <f>AK224</f>
        <v>7.9339635812485168E-2</v>
      </c>
      <c r="AM224" s="147">
        <f t="shared" ref="AM224:AN224" si="653">AL224</f>
        <v>7.9339635812485168E-2</v>
      </c>
      <c r="AN224" s="147">
        <f t="shared" si="653"/>
        <v>7.9339635812485168E-2</v>
      </c>
    </row>
    <row r="225" spans="1:40" ht="15" customHeight="1" x14ac:dyDescent="0.2">
      <c r="G225" s="154"/>
      <c r="L225" s="154"/>
      <c r="M225" s="178"/>
      <c r="N225" s="178"/>
      <c r="O225" s="178"/>
      <c r="P225" s="178"/>
      <c r="Q225" s="154"/>
      <c r="V225" s="154"/>
      <c r="AA225" s="154"/>
      <c r="AF225" s="154"/>
      <c r="AK225" s="154"/>
      <c r="AL225" s="154"/>
      <c r="AM225" s="154"/>
      <c r="AN225" s="154"/>
    </row>
    <row r="226" spans="1:40" ht="15" customHeight="1" x14ac:dyDescent="0.2">
      <c r="A226" s="119" t="s">
        <v>237</v>
      </c>
      <c r="B226" s="119"/>
      <c r="C226" s="119"/>
      <c r="D226" s="119"/>
      <c r="E226" s="119"/>
      <c r="F226" s="119"/>
      <c r="G226" s="123"/>
      <c r="H226" s="119"/>
      <c r="I226" s="119"/>
      <c r="J226" s="119"/>
      <c r="K226" s="119"/>
      <c r="L226" s="123"/>
      <c r="M226" s="119"/>
      <c r="N226" s="119"/>
      <c r="O226" s="119"/>
      <c r="P226" s="119"/>
      <c r="Q226" s="123"/>
      <c r="R226" s="119"/>
      <c r="S226" s="119"/>
      <c r="T226" s="119"/>
      <c r="U226" s="119"/>
      <c r="V226" s="123"/>
      <c r="W226" s="119"/>
      <c r="X226" s="119"/>
      <c r="Y226" s="119"/>
      <c r="Z226" s="119"/>
      <c r="AA226" s="123"/>
      <c r="AB226" s="119"/>
      <c r="AC226" s="119"/>
      <c r="AD226" s="119"/>
      <c r="AE226" s="119"/>
      <c r="AF226" s="123"/>
      <c r="AG226" s="119"/>
      <c r="AH226" s="119"/>
      <c r="AI226" s="119"/>
      <c r="AJ226" s="119"/>
      <c r="AK226" s="123"/>
      <c r="AL226" s="123"/>
      <c r="AM226" s="123"/>
      <c r="AN226" s="123"/>
    </row>
    <row r="227" spans="1:40" ht="15" customHeight="1" x14ac:dyDescent="0.2">
      <c r="G227" s="154"/>
      <c r="L227" s="154"/>
      <c r="M227" s="178"/>
      <c r="N227" s="178"/>
      <c r="O227" s="178"/>
      <c r="P227" s="178"/>
      <c r="Q227" s="154"/>
      <c r="V227" s="154"/>
      <c r="AA227" s="154"/>
      <c r="AF227" s="154"/>
      <c r="AK227" s="154"/>
      <c r="AL227" s="154"/>
      <c r="AM227" s="154"/>
      <c r="AN227" s="154"/>
    </row>
    <row r="228" spans="1:40" ht="15" customHeight="1" x14ac:dyDescent="0.2">
      <c r="A228" s="322"/>
      <c r="G228" s="154"/>
      <c r="L228" s="154"/>
      <c r="M228" s="178"/>
      <c r="N228" s="178"/>
      <c r="O228" s="178"/>
      <c r="P228" s="178"/>
      <c r="Q228" s="154"/>
      <c r="V228" s="154"/>
      <c r="AA228" s="154"/>
      <c r="AF228" s="154"/>
      <c r="AK228" s="154"/>
      <c r="AL228" s="154"/>
      <c r="AM228" s="154"/>
      <c r="AN228" s="154"/>
    </row>
    <row r="229" spans="1:40" ht="15" customHeight="1" x14ac:dyDescent="0.2">
      <c r="A229" s="199" t="s">
        <v>203</v>
      </c>
      <c r="G229" s="154"/>
      <c r="L229" s="154"/>
      <c r="M229" s="21"/>
      <c r="N229" s="21"/>
      <c r="O229" s="21"/>
      <c r="P229" s="21"/>
      <c r="Q229" s="154"/>
      <c r="V229" s="154"/>
      <c r="AA229" s="154"/>
      <c r="AF229" s="154"/>
      <c r="AK229" s="154"/>
      <c r="AL229" s="154"/>
      <c r="AM229" s="154"/>
      <c r="AN229" s="154"/>
    </row>
    <row r="230" spans="1:40" ht="15" customHeight="1" x14ac:dyDescent="0.2">
      <c r="A230" s="200" t="s">
        <v>204</v>
      </c>
      <c r="G230" s="146">
        <f>SUM(C230:F230)</f>
        <v>0</v>
      </c>
      <c r="H230" s="37">
        <v>53.373000000000005</v>
      </c>
      <c r="I230" s="37">
        <v>91.318000000000012</v>
      </c>
      <c r="J230" s="37">
        <v>38.464999999999989</v>
      </c>
      <c r="K230" s="37">
        <v>57.238999999999997</v>
      </c>
      <c r="L230" s="146">
        <f>SUM(H230:K230)</f>
        <v>240.39500000000001</v>
      </c>
      <c r="M230" s="37">
        <v>41.569999999999993</v>
      </c>
      <c r="N230" s="37">
        <v>68.312999999999988</v>
      </c>
      <c r="O230" s="37">
        <v>48.861000000000004</v>
      </c>
      <c r="P230" s="37">
        <v>49.905000000000001</v>
      </c>
      <c r="Q230" s="146">
        <f>SUM(M230:P230)</f>
        <v>208.64899999999997</v>
      </c>
      <c r="R230" s="165">
        <v>30.305</v>
      </c>
      <c r="S230" s="165">
        <v>47.905999999999999</v>
      </c>
      <c r="T230" s="37">
        <v>39.446000000000005</v>
      </c>
      <c r="U230" s="165">
        <v>54.041000000000011</v>
      </c>
      <c r="V230" s="146">
        <f>SUM(R230:U230)</f>
        <v>171.69800000000004</v>
      </c>
      <c r="W230" s="165">
        <f>'Sheet (3)'!B4/1000</f>
        <v>29.606000000000002</v>
      </c>
      <c r="X230" s="165">
        <f>X158</f>
        <v>35.459872238662392</v>
      </c>
      <c r="Y230" s="165">
        <f>Y158</f>
        <v>45.595097224705398</v>
      </c>
      <c r="Z230" s="165">
        <f>Z158</f>
        <v>55.060384744093696</v>
      </c>
      <c r="AA230" s="166">
        <f>SUM(W230:Z230)</f>
        <v>165.7213542074615</v>
      </c>
      <c r="AB230" s="165">
        <f>AB158</f>
        <v>59.432430734521027</v>
      </c>
      <c r="AC230" s="165">
        <f>AC158</f>
        <v>60.413993991258756</v>
      </c>
      <c r="AD230" s="165">
        <f>AD158</f>
        <v>66.462968937921062</v>
      </c>
      <c r="AE230" s="165">
        <f>AE158</f>
        <v>67.180752247623474</v>
      </c>
      <c r="AF230" s="166">
        <f>SUM(AB230:AE230)</f>
        <v>253.49014591132433</v>
      </c>
      <c r="AG230" s="165">
        <f>AG158</f>
        <v>69.208355823337001</v>
      </c>
      <c r="AH230" s="165">
        <f>AH158</f>
        <v>67.070227704512561</v>
      </c>
      <c r="AI230" s="165">
        <f>AI158</f>
        <v>72.146373809947363</v>
      </c>
      <c r="AJ230" s="165">
        <f>AJ158</f>
        <v>72.66972569377441</v>
      </c>
      <c r="AK230" s="166">
        <f>SUM(AG230:AJ230)</f>
        <v>281.09468303157132</v>
      </c>
      <c r="AL230" s="166">
        <f>AL158</f>
        <v>291.91287902214634</v>
      </c>
      <c r="AM230" s="166">
        <f>AM158</f>
        <v>303.81289461177892</v>
      </c>
      <c r="AN230" s="166">
        <f>AN158</f>
        <v>316.90291176037476</v>
      </c>
    </row>
    <row r="231" spans="1:40" ht="15" customHeight="1" x14ac:dyDescent="0.2">
      <c r="A231" s="200"/>
      <c r="G231" s="154"/>
      <c r="L231" s="154"/>
      <c r="M231" s="21"/>
      <c r="N231" s="21"/>
      <c r="O231" s="21"/>
      <c r="P231" s="165"/>
      <c r="Q231" s="154"/>
      <c r="R231" s="165"/>
      <c r="S231" s="165"/>
      <c r="T231" s="21"/>
      <c r="U231" s="165"/>
      <c r="V231" s="154"/>
      <c r="W231" s="165"/>
      <c r="X231" s="165"/>
      <c r="Y231" s="165"/>
      <c r="Z231" s="165"/>
      <c r="AA231" s="244"/>
      <c r="AB231" s="21"/>
      <c r="AC231" s="21"/>
      <c r="AD231" s="21"/>
      <c r="AE231" s="21"/>
      <c r="AF231" s="244"/>
      <c r="AG231" s="21"/>
      <c r="AH231" s="21"/>
      <c r="AI231" s="21"/>
      <c r="AJ231" s="21"/>
      <c r="AK231" s="244"/>
      <c r="AL231" s="244"/>
      <c r="AM231" s="244"/>
      <c r="AN231" s="244"/>
    </row>
    <row r="232" spans="1:40" ht="15" customHeight="1" x14ac:dyDescent="0.2">
      <c r="A232" s="199" t="s">
        <v>205</v>
      </c>
      <c r="G232" s="154"/>
      <c r="L232" s="154"/>
      <c r="M232" s="21"/>
      <c r="N232" s="21"/>
      <c r="O232" s="21"/>
      <c r="P232" s="165"/>
      <c r="Q232" s="154"/>
      <c r="R232" s="165"/>
      <c r="S232" s="165"/>
      <c r="T232" s="21"/>
      <c r="U232" s="165"/>
      <c r="V232" s="154"/>
      <c r="W232" s="165"/>
      <c r="X232" s="165"/>
      <c r="Y232" s="165"/>
      <c r="Z232" s="165"/>
      <c r="AA232" s="244"/>
      <c r="AB232" s="21"/>
      <c r="AC232" s="21"/>
      <c r="AD232" s="21"/>
      <c r="AE232" s="21"/>
      <c r="AF232" s="244"/>
      <c r="AG232" s="21"/>
      <c r="AH232" s="21"/>
      <c r="AI232" s="21"/>
      <c r="AJ232" s="21"/>
      <c r="AK232" s="244"/>
      <c r="AL232" s="244"/>
      <c r="AM232" s="244"/>
      <c r="AN232" s="244"/>
    </row>
    <row r="233" spans="1:40" ht="15" customHeight="1" x14ac:dyDescent="0.2">
      <c r="A233" s="200" t="s">
        <v>206</v>
      </c>
      <c r="G233" s="146">
        <f>SUM(C233:F233)</f>
        <v>0</v>
      </c>
      <c r="H233" s="37">
        <v>32.451000000000001</v>
      </c>
      <c r="I233" s="37">
        <v>33.024999999999999</v>
      </c>
      <c r="J233" s="37">
        <v>32.106000000000002</v>
      </c>
      <c r="K233" s="37">
        <v>33.575999999999993</v>
      </c>
      <c r="L233" s="146">
        <f>SUM(H233:K233)</f>
        <v>131.15799999999999</v>
      </c>
      <c r="M233" s="165">
        <v>33.076999999999998</v>
      </c>
      <c r="N233" s="165">
        <v>32.478999999999999</v>
      </c>
      <c r="O233" s="165">
        <v>32.243000000000009</v>
      </c>
      <c r="P233" s="165">
        <v>31.724999999999994</v>
      </c>
      <c r="Q233" s="146">
        <f>SUM(M233:P233)</f>
        <v>129.524</v>
      </c>
      <c r="R233" s="165">
        <v>30.721</v>
      </c>
      <c r="S233" s="165">
        <v>30.610000000000003</v>
      </c>
      <c r="T233" s="165">
        <v>29.926999999999989</v>
      </c>
      <c r="U233" s="165">
        <v>29.370000000000005</v>
      </c>
      <c r="V233" s="146">
        <f>SUM(R233:U233)</f>
        <v>120.628</v>
      </c>
      <c r="W233" s="165">
        <f>'Sheet (3)'!B6/1000</f>
        <v>29.303999999999998</v>
      </c>
      <c r="X233" s="165">
        <f>X274*-X254</f>
        <v>30.477510764999998</v>
      </c>
      <c r="Y233" s="165">
        <f t="shared" ref="Y233:AL233" si="654">Y274*-Y254</f>
        <v>31.938489765000003</v>
      </c>
      <c r="Z233" s="165">
        <f t="shared" si="654"/>
        <v>32.880138525</v>
      </c>
      <c r="AA233" s="166">
        <f>SUM(W233:Z233)</f>
        <v>124.600139055</v>
      </c>
      <c r="AB233" s="165">
        <f t="shared" si="654"/>
        <v>33.079991759099997</v>
      </c>
      <c r="AC233" s="165">
        <f t="shared" si="654"/>
        <v>32.6923248015</v>
      </c>
      <c r="AD233" s="165">
        <f t="shared" si="654"/>
        <v>34.673807083499995</v>
      </c>
      <c r="AE233" s="165">
        <f t="shared" si="654"/>
        <v>34.953460717499993</v>
      </c>
      <c r="AF233" s="166">
        <f>SUM(AB233:AE233)</f>
        <v>135.39958436159998</v>
      </c>
      <c r="AG233" s="165">
        <f t="shared" si="654"/>
        <v>35.743429919339995</v>
      </c>
      <c r="AH233" s="165">
        <f t="shared" si="654"/>
        <v>34.910399546099995</v>
      </c>
      <c r="AI233" s="165">
        <f t="shared" si="654"/>
        <v>36.888103242900002</v>
      </c>
      <c r="AJ233" s="165">
        <f t="shared" si="654"/>
        <v>37.092004969500003</v>
      </c>
      <c r="AK233" s="166">
        <f>SUM(AG233:AJ233)</f>
        <v>144.63393767784001</v>
      </c>
      <c r="AL233" s="166">
        <f t="shared" si="654"/>
        <v>148.84878606062401</v>
      </c>
      <c r="AM233" s="166">
        <f t="shared" ref="AM233:AN233" si="655">AM274*-AM254</f>
        <v>153.48511928168639</v>
      </c>
      <c r="AN233" s="166">
        <f t="shared" si="655"/>
        <v>158.58508582485504</v>
      </c>
    </row>
    <row r="234" spans="1:40" ht="15" customHeight="1" x14ac:dyDescent="0.2">
      <c r="A234" s="200" t="s">
        <v>207</v>
      </c>
      <c r="G234" s="146">
        <f t="shared" ref="G234:G239" si="656">SUM(C234:F234)</f>
        <v>0</v>
      </c>
      <c r="H234" s="37">
        <v>37.902000000000001</v>
      </c>
      <c r="I234" s="37">
        <v>0</v>
      </c>
      <c r="J234" s="37">
        <v>0</v>
      </c>
      <c r="K234" s="37">
        <v>0</v>
      </c>
      <c r="L234" s="146">
        <f t="shared" ref="L234:L239" si="657">SUM(H234:K234)</f>
        <v>37.902000000000001</v>
      </c>
      <c r="M234" s="165">
        <v>0</v>
      </c>
      <c r="N234" s="165">
        <v>0</v>
      </c>
      <c r="O234" s="165">
        <v>0</v>
      </c>
      <c r="P234" s="165">
        <v>0</v>
      </c>
      <c r="Q234" s="146">
        <f t="shared" ref="Q234:Q239" si="658">SUM(M234:P234)</f>
        <v>0</v>
      </c>
      <c r="R234" s="165"/>
      <c r="S234" s="165">
        <v>0</v>
      </c>
      <c r="T234" s="165">
        <v>0</v>
      </c>
      <c r="U234" s="165">
        <v>0</v>
      </c>
      <c r="V234" s="146">
        <f t="shared" ref="V234:V239" si="659">SUM(R234:U234)</f>
        <v>0</v>
      </c>
      <c r="W234" s="165">
        <v>0</v>
      </c>
      <c r="X234" s="165">
        <v>0</v>
      </c>
      <c r="Y234" s="165">
        <v>0</v>
      </c>
      <c r="Z234" s="165">
        <v>0</v>
      </c>
      <c r="AA234" s="166">
        <f t="shared" ref="AA234:AA239" si="660">SUM(W234:Z234)</f>
        <v>0</v>
      </c>
      <c r="AB234" s="165">
        <v>0</v>
      </c>
      <c r="AC234" s="165">
        <v>0</v>
      </c>
      <c r="AD234" s="165">
        <v>0</v>
      </c>
      <c r="AE234" s="165">
        <v>0</v>
      </c>
      <c r="AF234" s="166">
        <f t="shared" ref="AF234:AF239" si="661">SUM(AB234:AE234)</f>
        <v>0</v>
      </c>
      <c r="AG234" s="165">
        <v>0</v>
      </c>
      <c r="AH234" s="165">
        <v>0</v>
      </c>
      <c r="AI234" s="165">
        <v>0</v>
      </c>
      <c r="AJ234" s="165">
        <v>0</v>
      </c>
      <c r="AK234" s="166">
        <f t="shared" ref="AK234:AK239" si="662">SUM(AG234:AJ234)</f>
        <v>0</v>
      </c>
      <c r="AL234" s="166">
        <v>0</v>
      </c>
      <c r="AM234" s="166">
        <v>0</v>
      </c>
      <c r="AN234" s="166">
        <v>0</v>
      </c>
    </row>
    <row r="235" spans="1:40" ht="15" customHeight="1" x14ac:dyDescent="0.2">
      <c r="A235" s="200" t="s">
        <v>208</v>
      </c>
      <c r="G235" s="146">
        <f t="shared" si="656"/>
        <v>0</v>
      </c>
      <c r="H235" s="37">
        <v>-13.547000000000001</v>
      </c>
      <c r="I235" s="37">
        <v>-9.9999999999997868E-3</v>
      </c>
      <c r="J235" s="37">
        <v>2.5449999999999999</v>
      </c>
      <c r="K235" s="37">
        <v>-12.585999999999999</v>
      </c>
      <c r="L235" s="146">
        <f t="shared" si="657"/>
        <v>-23.597999999999999</v>
      </c>
      <c r="M235" s="165">
        <v>-0.58799999999999997</v>
      </c>
      <c r="N235" s="165">
        <v>-1.3540000000000001</v>
      </c>
      <c r="O235" s="165">
        <v>-2.1310000000000002</v>
      </c>
      <c r="P235" s="165">
        <v>-0.37899999999999956</v>
      </c>
      <c r="Q235" s="146">
        <f t="shared" si="658"/>
        <v>-4.452</v>
      </c>
      <c r="R235" s="165">
        <v>-1.538</v>
      </c>
      <c r="S235" s="165">
        <v>-2.9999999999998916E-3</v>
      </c>
      <c r="T235" s="165">
        <v>-4.0000000000000036E-3</v>
      </c>
      <c r="U235" s="165">
        <v>-0.22999999999999998</v>
      </c>
      <c r="V235" s="146">
        <f t="shared" si="659"/>
        <v>-1.7749999999999999</v>
      </c>
      <c r="W235" s="165">
        <f>'Sheet (3)'!B7/1000</f>
        <v>3.3000000000000002E-2</v>
      </c>
      <c r="X235" s="165">
        <v>0</v>
      </c>
      <c r="Y235" s="165">
        <v>0</v>
      </c>
      <c r="Z235" s="165">
        <v>0</v>
      </c>
      <c r="AA235" s="166">
        <f t="shared" si="660"/>
        <v>3.3000000000000002E-2</v>
      </c>
      <c r="AB235" s="165">
        <v>0</v>
      </c>
      <c r="AC235" s="165">
        <v>0</v>
      </c>
      <c r="AD235" s="165">
        <v>0</v>
      </c>
      <c r="AE235" s="165">
        <v>0</v>
      </c>
      <c r="AF235" s="166">
        <f t="shared" si="661"/>
        <v>0</v>
      </c>
      <c r="AG235" s="165">
        <v>0</v>
      </c>
      <c r="AH235" s="165">
        <v>0</v>
      </c>
      <c r="AI235" s="165">
        <v>0</v>
      </c>
      <c r="AJ235" s="165">
        <v>0</v>
      </c>
      <c r="AK235" s="166">
        <f t="shared" si="662"/>
        <v>0</v>
      </c>
      <c r="AL235" s="166">
        <v>0</v>
      </c>
      <c r="AM235" s="166">
        <v>0</v>
      </c>
      <c r="AN235" s="166">
        <v>0</v>
      </c>
    </row>
    <row r="236" spans="1:40" ht="15" customHeight="1" x14ac:dyDescent="0.2">
      <c r="A236" s="200" t="s">
        <v>209</v>
      </c>
      <c r="G236" s="146">
        <f t="shared" si="656"/>
        <v>0</v>
      </c>
      <c r="H236" s="37">
        <v>0</v>
      </c>
      <c r="I236" s="37">
        <v>0</v>
      </c>
      <c r="J236" s="37">
        <v>-30.481000000000002</v>
      </c>
      <c r="K236" s="37">
        <v>0</v>
      </c>
      <c r="L236" s="146">
        <f t="shared" si="657"/>
        <v>-30.481000000000002</v>
      </c>
      <c r="M236" s="165">
        <v>0</v>
      </c>
      <c r="N236" s="165">
        <v>0</v>
      </c>
      <c r="O236" s="165">
        <v>0</v>
      </c>
      <c r="P236" s="165">
        <v>0</v>
      </c>
      <c r="Q236" s="146">
        <f t="shared" si="658"/>
        <v>0</v>
      </c>
      <c r="R236" s="165">
        <v>0</v>
      </c>
      <c r="S236" s="165">
        <v>0</v>
      </c>
      <c r="T236" s="165">
        <v>0</v>
      </c>
      <c r="U236" s="165">
        <v>0</v>
      </c>
      <c r="V236" s="146">
        <f t="shared" si="659"/>
        <v>0</v>
      </c>
      <c r="W236" s="165">
        <v>0</v>
      </c>
      <c r="X236" s="165">
        <v>0</v>
      </c>
      <c r="Y236" s="165">
        <v>0</v>
      </c>
      <c r="Z236" s="165">
        <v>0</v>
      </c>
      <c r="AA236" s="166">
        <f t="shared" si="660"/>
        <v>0</v>
      </c>
      <c r="AB236" s="165">
        <v>0</v>
      </c>
      <c r="AC236" s="165">
        <v>0</v>
      </c>
      <c r="AD236" s="165">
        <v>0</v>
      </c>
      <c r="AE236" s="165">
        <v>0</v>
      </c>
      <c r="AF236" s="166">
        <f t="shared" si="661"/>
        <v>0</v>
      </c>
      <c r="AG236" s="165">
        <v>0</v>
      </c>
      <c r="AH236" s="165">
        <v>0</v>
      </c>
      <c r="AI236" s="165">
        <v>0</v>
      </c>
      <c r="AJ236" s="165">
        <v>0</v>
      </c>
      <c r="AK236" s="166">
        <f t="shared" si="662"/>
        <v>0</v>
      </c>
      <c r="AL236" s="166">
        <v>0</v>
      </c>
      <c r="AM236" s="166">
        <v>0</v>
      </c>
      <c r="AN236" s="166">
        <v>0</v>
      </c>
    </row>
    <row r="237" spans="1:40" ht="15" customHeight="1" x14ac:dyDescent="0.2">
      <c r="A237" s="200" t="s">
        <v>210</v>
      </c>
      <c r="G237" s="146">
        <f t="shared" si="656"/>
        <v>0</v>
      </c>
      <c r="H237" s="37">
        <v>10.981999999999999</v>
      </c>
      <c r="I237" s="37">
        <v>2.4930000000000003</v>
      </c>
      <c r="J237" s="37">
        <v>6.6130000000000013</v>
      </c>
      <c r="K237" s="37">
        <v>2.8140000000000001</v>
      </c>
      <c r="L237" s="146">
        <f t="shared" si="657"/>
        <v>22.902000000000001</v>
      </c>
      <c r="M237" s="165">
        <v>13.468999999999999</v>
      </c>
      <c r="N237" s="165">
        <v>2.9689999999999994</v>
      </c>
      <c r="O237" s="165">
        <v>2.615000000000002</v>
      </c>
      <c r="P237" s="165">
        <v>2.4220000000000006</v>
      </c>
      <c r="Q237" s="146">
        <f t="shared" si="658"/>
        <v>21.475000000000001</v>
      </c>
      <c r="R237" s="165">
        <v>11.891999999999999</v>
      </c>
      <c r="S237" s="165">
        <v>2.0650000000000013</v>
      </c>
      <c r="T237" s="165">
        <v>3.1789999999999985</v>
      </c>
      <c r="U237" s="165">
        <v>2.9730000000000025</v>
      </c>
      <c r="V237" s="146">
        <f t="shared" si="659"/>
        <v>20.109000000000002</v>
      </c>
      <c r="W237" s="165">
        <f>'Sheet (3)'!B8/1000</f>
        <v>11.316000000000001</v>
      </c>
      <c r="X237" s="165">
        <f>S237</f>
        <v>2.0650000000000013</v>
      </c>
      <c r="Y237" s="165">
        <f>T237</f>
        <v>3.1789999999999985</v>
      </c>
      <c r="Z237" s="165">
        <f>U237</f>
        <v>2.9730000000000025</v>
      </c>
      <c r="AA237" s="166">
        <f t="shared" si="660"/>
        <v>19.533000000000005</v>
      </c>
      <c r="AB237" s="165">
        <f>W237</f>
        <v>11.316000000000001</v>
      </c>
      <c r="AC237" s="165">
        <f>X237</f>
        <v>2.0650000000000013</v>
      </c>
      <c r="AD237" s="165">
        <f>Y237</f>
        <v>3.1789999999999985</v>
      </c>
      <c r="AE237" s="165">
        <f>Z237</f>
        <v>2.9730000000000025</v>
      </c>
      <c r="AF237" s="166">
        <f t="shared" si="661"/>
        <v>19.533000000000005</v>
      </c>
      <c r="AG237" s="165">
        <f t="shared" ref="AG237" si="663">AB237</f>
        <v>11.316000000000001</v>
      </c>
      <c r="AH237" s="165">
        <f t="shared" ref="AH237" si="664">AC237</f>
        <v>2.0650000000000013</v>
      </c>
      <c r="AI237" s="165">
        <f t="shared" ref="AI237" si="665">AD237</f>
        <v>3.1789999999999985</v>
      </c>
      <c r="AJ237" s="165">
        <f t="shared" ref="AJ237" si="666">AE237</f>
        <v>2.9730000000000025</v>
      </c>
      <c r="AK237" s="166">
        <f t="shared" si="662"/>
        <v>19.533000000000005</v>
      </c>
      <c r="AL237" s="166">
        <f>AK237</f>
        <v>19.533000000000005</v>
      </c>
      <c r="AM237" s="166">
        <f t="shared" ref="AM237:AN237" si="667">AL237</f>
        <v>19.533000000000005</v>
      </c>
      <c r="AN237" s="166">
        <f t="shared" si="667"/>
        <v>19.533000000000005</v>
      </c>
    </row>
    <row r="238" spans="1:40" ht="15" customHeight="1" x14ac:dyDescent="0.2">
      <c r="A238" s="200" t="s">
        <v>189</v>
      </c>
      <c r="G238" s="146">
        <f t="shared" si="656"/>
        <v>0</v>
      </c>
      <c r="H238" s="37">
        <v>-4.7E-2</v>
      </c>
      <c r="I238" s="37">
        <v>0.182</v>
      </c>
      <c r="J238" s="37">
        <v>-1.891</v>
      </c>
      <c r="K238" s="37">
        <v>3.0670000000000002</v>
      </c>
      <c r="L238" s="146">
        <f t="shared" si="657"/>
        <v>1.3110000000000002</v>
      </c>
      <c r="M238" s="165">
        <v>1.3320000000000001</v>
      </c>
      <c r="N238" s="165">
        <v>0.29000000000000004</v>
      </c>
      <c r="O238" s="165">
        <v>-1.4850000000000001</v>
      </c>
      <c r="P238" s="165">
        <v>-12.101000000000001</v>
      </c>
      <c r="Q238" s="146">
        <f t="shared" si="658"/>
        <v>-11.964</v>
      </c>
      <c r="R238" s="165">
        <v>0</v>
      </c>
      <c r="S238" s="165">
        <v>-5.5E-2</v>
      </c>
      <c r="T238" s="165">
        <v>-1.0000000000000009E-3</v>
      </c>
      <c r="U238" s="165">
        <v>-23.169999999999998</v>
      </c>
      <c r="V238" s="146">
        <f t="shared" si="659"/>
        <v>-23.225999999999999</v>
      </c>
      <c r="W238" s="165">
        <v>0</v>
      </c>
      <c r="X238" s="165">
        <v>0</v>
      </c>
      <c r="Y238" s="165">
        <v>0</v>
      </c>
      <c r="Z238" s="165">
        <v>0</v>
      </c>
      <c r="AA238" s="166">
        <f t="shared" si="660"/>
        <v>0</v>
      </c>
      <c r="AB238" s="165">
        <v>0</v>
      </c>
      <c r="AC238" s="165">
        <v>0</v>
      </c>
      <c r="AD238" s="165">
        <v>0</v>
      </c>
      <c r="AE238" s="165">
        <v>0</v>
      </c>
      <c r="AF238" s="166">
        <f t="shared" si="661"/>
        <v>0</v>
      </c>
      <c r="AG238" s="165">
        <v>0</v>
      </c>
      <c r="AH238" s="165">
        <v>0</v>
      </c>
      <c r="AI238" s="165">
        <v>0</v>
      </c>
      <c r="AJ238" s="165">
        <v>0</v>
      </c>
      <c r="AK238" s="166">
        <f t="shared" si="662"/>
        <v>0</v>
      </c>
      <c r="AL238" s="166">
        <v>0</v>
      </c>
      <c r="AM238" s="166">
        <v>0</v>
      </c>
      <c r="AN238" s="166">
        <v>0</v>
      </c>
    </row>
    <row r="239" spans="1:40" ht="15" customHeight="1" x14ac:dyDescent="0.2">
      <c r="A239" s="200" t="s">
        <v>211</v>
      </c>
      <c r="G239" s="146">
        <f t="shared" si="656"/>
        <v>0</v>
      </c>
      <c r="H239" s="37">
        <v>0</v>
      </c>
      <c r="I239" s="37">
        <v>0</v>
      </c>
      <c r="J239" s="37"/>
      <c r="K239" s="37">
        <v>0</v>
      </c>
      <c r="L239" s="146">
        <f t="shared" si="657"/>
        <v>0</v>
      </c>
      <c r="M239" s="165">
        <v>0</v>
      </c>
      <c r="N239" s="165">
        <v>0</v>
      </c>
      <c r="O239" s="165">
        <v>0</v>
      </c>
      <c r="P239" s="165">
        <v>0</v>
      </c>
      <c r="Q239" s="146">
        <f t="shared" si="658"/>
        <v>0</v>
      </c>
      <c r="R239" s="165"/>
      <c r="S239" s="165">
        <v>0</v>
      </c>
      <c r="T239" s="165">
        <v>0</v>
      </c>
      <c r="U239" s="165">
        <v>0</v>
      </c>
      <c r="V239" s="146">
        <f t="shared" si="659"/>
        <v>0</v>
      </c>
      <c r="W239" s="165">
        <v>0</v>
      </c>
      <c r="X239" s="165">
        <v>0</v>
      </c>
      <c r="Y239" s="165">
        <v>0</v>
      </c>
      <c r="Z239" s="165">
        <v>0</v>
      </c>
      <c r="AA239" s="166">
        <f t="shared" si="660"/>
        <v>0</v>
      </c>
      <c r="AB239" s="165">
        <v>0</v>
      </c>
      <c r="AC239" s="165">
        <v>0</v>
      </c>
      <c r="AD239" s="165">
        <v>0</v>
      </c>
      <c r="AE239" s="165">
        <v>0</v>
      </c>
      <c r="AF239" s="166">
        <f t="shared" si="661"/>
        <v>0</v>
      </c>
      <c r="AG239" s="165">
        <v>0</v>
      </c>
      <c r="AH239" s="165">
        <v>0</v>
      </c>
      <c r="AI239" s="165">
        <v>0</v>
      </c>
      <c r="AJ239" s="165">
        <v>0</v>
      </c>
      <c r="AK239" s="166">
        <f t="shared" si="662"/>
        <v>0</v>
      </c>
      <c r="AL239" s="166">
        <v>0</v>
      </c>
      <c r="AM239" s="166">
        <v>0</v>
      </c>
      <c r="AN239" s="166">
        <v>0</v>
      </c>
    </row>
    <row r="240" spans="1:40" ht="15" customHeight="1" x14ac:dyDescent="0.2">
      <c r="A240" s="323"/>
      <c r="G240" s="146"/>
      <c r="H240" s="37"/>
      <c r="I240" s="37"/>
      <c r="J240" s="37"/>
      <c r="K240" s="37"/>
      <c r="L240" s="146"/>
      <c r="M240" s="165"/>
      <c r="N240" s="165"/>
      <c r="O240" s="165"/>
      <c r="P240" s="165"/>
      <c r="Q240" s="146"/>
      <c r="R240" s="165"/>
      <c r="S240" s="165"/>
      <c r="T240" s="165"/>
      <c r="U240" s="165"/>
      <c r="V240" s="146"/>
      <c r="W240" s="165"/>
      <c r="X240" s="165"/>
      <c r="Y240" s="165"/>
      <c r="Z240" s="165"/>
      <c r="AA240" s="166"/>
      <c r="AB240" s="21"/>
      <c r="AC240" s="21"/>
      <c r="AD240" s="21"/>
      <c r="AE240" s="21"/>
      <c r="AF240" s="166"/>
      <c r="AG240" s="21"/>
      <c r="AH240" s="21"/>
      <c r="AI240" s="21"/>
      <c r="AJ240" s="21"/>
      <c r="AK240" s="166"/>
      <c r="AL240" s="166"/>
      <c r="AM240" s="166"/>
      <c r="AN240" s="166"/>
    </row>
    <row r="241" spans="1:40" ht="15" customHeight="1" x14ac:dyDescent="0.2">
      <c r="A241" s="324" t="s">
        <v>212</v>
      </c>
      <c r="G241" s="177">
        <f t="shared" ref="G241" si="668">SUM(G242:G250)</f>
        <v>0</v>
      </c>
      <c r="H241" s="182">
        <f t="shared" ref="H241:AL241" si="669">SUM(H242:H250)</f>
        <v>-93.668999999999997</v>
      </c>
      <c r="I241" s="182">
        <f t="shared" si="669"/>
        <v>-102.27400000000002</v>
      </c>
      <c r="J241" s="182">
        <f t="shared" si="669"/>
        <v>112.83960000000002</v>
      </c>
      <c r="K241" s="182">
        <f t="shared" si="669"/>
        <v>53.005399999999966</v>
      </c>
      <c r="L241" s="177">
        <f t="shared" si="669"/>
        <v>-30.098000000000013</v>
      </c>
      <c r="M241" s="183">
        <f t="shared" si="669"/>
        <v>57.865000000000009</v>
      </c>
      <c r="N241" s="183">
        <f t="shared" si="669"/>
        <v>-30.425000000000001</v>
      </c>
      <c r="O241" s="183">
        <f t="shared" si="669"/>
        <v>18.815000000000008</v>
      </c>
      <c r="P241" s="183">
        <f t="shared" si="669"/>
        <v>75.181999999999988</v>
      </c>
      <c r="Q241" s="177">
        <f t="shared" ref="Q241" si="670">SUM(Q242:Q250)</f>
        <v>121.437</v>
      </c>
      <c r="R241" s="183">
        <f t="shared" si="669"/>
        <v>-32.090000000000003</v>
      </c>
      <c r="S241" s="183">
        <f t="shared" si="669"/>
        <v>-69.704999999999984</v>
      </c>
      <c r="T241" s="183">
        <f t="shared" si="669"/>
        <v>-36.638999999999996</v>
      </c>
      <c r="U241" s="183">
        <f t="shared" si="669"/>
        <v>44.637999999999984</v>
      </c>
      <c r="V241" s="177">
        <f t="shared" si="669"/>
        <v>-93.795999999999992</v>
      </c>
      <c r="W241" s="183">
        <f t="shared" si="669"/>
        <v>-64.856999999999999</v>
      </c>
      <c r="X241" s="183">
        <f t="shared" si="669"/>
        <v>-35.675425409306939</v>
      </c>
      <c r="Y241" s="183">
        <f t="shared" si="669"/>
        <v>-30.752623934986403</v>
      </c>
      <c r="Z241" s="183">
        <f t="shared" si="669"/>
        <v>-15.338566886476485</v>
      </c>
      <c r="AA241" s="198">
        <f t="shared" ref="AA241" si="671">SUM(AA242:AA250)</f>
        <v>-146.62361623076984</v>
      </c>
      <c r="AB241" s="183">
        <f t="shared" si="669"/>
        <v>-5.6292645520622671</v>
      </c>
      <c r="AC241" s="183">
        <f t="shared" si="669"/>
        <v>-0.52942714047878781</v>
      </c>
      <c r="AD241" s="183">
        <f t="shared" si="669"/>
        <v>-56.506310961172474</v>
      </c>
      <c r="AE241" s="183">
        <f t="shared" si="669"/>
        <v>4.2657519445432968</v>
      </c>
      <c r="AF241" s="198">
        <f t="shared" si="669"/>
        <v>-58.399250709170232</v>
      </c>
      <c r="AG241" s="183">
        <f t="shared" si="669"/>
        <v>-22.251056607439068</v>
      </c>
      <c r="AH241" s="183">
        <f t="shared" si="669"/>
        <v>-1.2589365909262114</v>
      </c>
      <c r="AI241" s="183">
        <f t="shared" si="669"/>
        <v>-43.901267782420845</v>
      </c>
      <c r="AJ241" s="183">
        <f t="shared" si="669"/>
        <v>7.1749010088646799</v>
      </c>
      <c r="AK241" s="198">
        <f t="shared" ref="AK241" si="672">SUM(AK242:AK250)</f>
        <v>-60.236359971921445</v>
      </c>
      <c r="AL241" s="198">
        <f t="shared" si="669"/>
        <v>-30.446160645151522</v>
      </c>
      <c r="AM241" s="198">
        <f t="shared" ref="AM241:AN241" si="673">SUM(AM242:AM250)</f>
        <v>-33.49077670966642</v>
      </c>
      <c r="AN241" s="198">
        <f t="shared" si="673"/>
        <v>-36.839854380633355</v>
      </c>
    </row>
    <row r="242" spans="1:40" ht="15" customHeight="1" x14ac:dyDescent="0.2">
      <c r="A242" s="325" t="s">
        <v>153</v>
      </c>
      <c r="G242" s="146">
        <f t="shared" ref="G242:G250" si="674">SUM(C242:F242)</f>
        <v>0</v>
      </c>
      <c r="H242" s="37">
        <v>37.652000000000001</v>
      </c>
      <c r="I242" s="37">
        <v>-38.173000000000002</v>
      </c>
      <c r="J242" s="37">
        <v>63.774000000000001</v>
      </c>
      <c r="K242" s="37">
        <v>-11.158000000000001</v>
      </c>
      <c r="L242" s="146">
        <f t="shared" ref="L242:L250" si="675">SUM(H242:K242)</f>
        <v>52.094999999999999</v>
      </c>
      <c r="M242" s="165">
        <v>57.000999999999998</v>
      </c>
      <c r="N242" s="165">
        <v>-67.566000000000003</v>
      </c>
      <c r="O242" s="165">
        <v>14.672000000000004</v>
      </c>
      <c r="P242" s="165">
        <v>37.134</v>
      </c>
      <c r="Q242" s="146">
        <f t="shared" ref="Q242:Q250" si="676">SUM(M242:P242)</f>
        <v>41.241</v>
      </c>
      <c r="R242" s="165">
        <v>55.906999999999996</v>
      </c>
      <c r="S242" s="165">
        <v>-57.468999999999994</v>
      </c>
      <c r="T242" s="165">
        <v>-5.1829999999999998</v>
      </c>
      <c r="U242" s="165">
        <v>-47.635000000000005</v>
      </c>
      <c r="V242" s="146">
        <f t="shared" ref="V242:V250" si="677">SUM(R242:U242)</f>
        <v>-54.38</v>
      </c>
      <c r="W242" s="165">
        <f>'Sheet (3)'!B10/1000</f>
        <v>31.318000000000001</v>
      </c>
      <c r="X242" s="165">
        <f>W177-X177</f>
        <v>-52.387090924668428</v>
      </c>
      <c r="Y242" s="165">
        <f>X177-Y177</f>
        <v>-23.652941444195562</v>
      </c>
      <c r="Z242" s="165">
        <f>Y177-Z177</f>
        <v>-12.312999516321042</v>
      </c>
      <c r="AA242" s="166">
        <f t="shared" ref="AA242:AA250" si="678">SUM(W242:Z242)</f>
        <v>-57.035031885185035</v>
      </c>
      <c r="AB242" s="165">
        <f>Z177-AB177</f>
        <v>-4.1660594598696434</v>
      </c>
      <c r="AC242" s="165">
        <f>AB177-AC177</f>
        <v>0.59223670134053918</v>
      </c>
      <c r="AD242" s="165">
        <f>AC177-AD177</f>
        <v>-41.759079016883447</v>
      </c>
      <c r="AE242" s="165">
        <f>AD177-AE177</f>
        <v>2.1132682662524758</v>
      </c>
      <c r="AF242" s="166">
        <f t="shared" ref="AF242:AF250" si="679">SUM(AB242:AE242)</f>
        <v>-43.219633509160076</v>
      </c>
      <c r="AG242" s="165">
        <f>AE177-AG177</f>
        <v>-16.467377579111258</v>
      </c>
      <c r="AH242" s="165">
        <f>AG177-AH177</f>
        <v>1.1932793000995616</v>
      </c>
      <c r="AI242" s="165">
        <f>AH177-AI177</f>
        <v>-33.504723914795818</v>
      </c>
      <c r="AJ242" s="165">
        <f>AI177-AJ177</f>
        <v>4.1995960856294232</v>
      </c>
      <c r="AK242" s="166">
        <f t="shared" ref="AK242:AK250" si="680">SUM(AG242:AJ242)</f>
        <v>-44.579226108178091</v>
      </c>
      <c r="AL242" s="166">
        <f>AK177-AL177</f>
        <v>-22.532342262361226</v>
      </c>
      <c r="AM242" s="166">
        <f>AL177-AM177</f>
        <v>-24.78557648859703</v>
      </c>
      <c r="AN242" s="166">
        <f>AM177-AN177</f>
        <v>-27.264134137457063</v>
      </c>
    </row>
    <row r="243" spans="1:40" ht="15" customHeight="1" x14ac:dyDescent="0.2">
      <c r="A243" s="325" t="s">
        <v>213</v>
      </c>
      <c r="G243" s="146">
        <f t="shared" si="674"/>
        <v>0</v>
      </c>
      <c r="H243" s="37">
        <v>-33.15</v>
      </c>
      <c r="I243" s="37">
        <v>-17.474000000000004</v>
      </c>
      <c r="J243" s="37">
        <v>-3.2269999999999968</v>
      </c>
      <c r="K243" s="37">
        <v>31.823</v>
      </c>
      <c r="L243" s="146">
        <f t="shared" si="675"/>
        <v>-22.027999999999999</v>
      </c>
      <c r="M243" s="165">
        <v>-17.468</v>
      </c>
      <c r="N243" s="165">
        <v>-15.096999999999998</v>
      </c>
      <c r="O243" s="165">
        <v>7.4059999999999988</v>
      </c>
      <c r="P243" s="165">
        <v>8.6679999999999993</v>
      </c>
      <c r="Q243" s="146">
        <f t="shared" si="676"/>
        <v>-16.491</v>
      </c>
      <c r="R243" s="165">
        <v>-37.067</v>
      </c>
      <c r="S243" s="165">
        <v>-11.674999999999997</v>
      </c>
      <c r="T243" s="165">
        <v>-16.149999999999999</v>
      </c>
      <c r="U243" s="165">
        <v>20.440999999999995</v>
      </c>
      <c r="V243" s="146">
        <f t="shared" si="677"/>
        <v>-44.451000000000001</v>
      </c>
      <c r="W243" s="165">
        <f>'Sheet (3)'!B11/1000</f>
        <v>-12.226000000000001</v>
      </c>
      <c r="X243" s="165">
        <v>0</v>
      </c>
      <c r="Y243" s="165">
        <v>0</v>
      </c>
      <c r="Z243" s="165">
        <v>0</v>
      </c>
      <c r="AA243" s="166">
        <f t="shared" si="678"/>
        <v>-12.226000000000001</v>
      </c>
      <c r="AB243" s="165">
        <v>0</v>
      </c>
      <c r="AC243" s="165">
        <v>0</v>
      </c>
      <c r="AD243" s="165">
        <v>0</v>
      </c>
      <c r="AE243" s="165">
        <v>0</v>
      </c>
      <c r="AF243" s="166">
        <f t="shared" si="679"/>
        <v>0</v>
      </c>
      <c r="AG243" s="165">
        <v>0</v>
      </c>
      <c r="AH243" s="165">
        <v>0</v>
      </c>
      <c r="AI243" s="165">
        <v>0</v>
      </c>
      <c r="AJ243" s="165">
        <v>0</v>
      </c>
      <c r="AK243" s="166">
        <f t="shared" si="680"/>
        <v>0</v>
      </c>
      <c r="AL243" s="166">
        <v>0</v>
      </c>
      <c r="AM243" s="166">
        <v>0</v>
      </c>
      <c r="AN243" s="166">
        <v>0</v>
      </c>
    </row>
    <row r="244" spans="1:40" ht="15" customHeight="1" x14ac:dyDescent="0.2">
      <c r="A244" s="325" t="s">
        <v>214</v>
      </c>
      <c r="G244" s="146">
        <f t="shared" si="674"/>
        <v>0</v>
      </c>
      <c r="H244" s="37">
        <v>-6.4009999999999998</v>
      </c>
      <c r="I244" s="37">
        <v>-8.6630000000000003</v>
      </c>
      <c r="J244" s="37">
        <v>-3.0203999999999986</v>
      </c>
      <c r="K244" s="37">
        <v>-9.3616000000000028</v>
      </c>
      <c r="L244" s="146">
        <f t="shared" si="675"/>
        <v>-27.446000000000002</v>
      </c>
      <c r="M244" s="165">
        <v>-5.3209999999999997</v>
      </c>
      <c r="N244" s="165">
        <v>-3.9050000000000011</v>
      </c>
      <c r="O244" s="165">
        <v>-5.5239999999999991</v>
      </c>
      <c r="P244" s="165">
        <v>-5.0109999999999992</v>
      </c>
      <c r="Q244" s="146">
        <f t="shared" si="676"/>
        <v>-19.760999999999999</v>
      </c>
      <c r="R244" s="165">
        <v>-4.782</v>
      </c>
      <c r="S244" s="165">
        <v>-6.1020000000000003</v>
      </c>
      <c r="T244" s="165">
        <v>-2.657</v>
      </c>
      <c r="U244" s="165">
        <v>-3.5769999999999982</v>
      </c>
      <c r="V244" s="146">
        <f t="shared" si="677"/>
        <v>-17.117999999999999</v>
      </c>
      <c r="W244" s="165">
        <f>'Sheet (3)'!B12/1000</f>
        <v>-0.496</v>
      </c>
      <c r="X244" s="165">
        <v>0</v>
      </c>
      <c r="Y244" s="165">
        <v>0</v>
      </c>
      <c r="Z244" s="165">
        <v>0</v>
      </c>
      <c r="AA244" s="166">
        <f t="shared" si="678"/>
        <v>-0.496</v>
      </c>
      <c r="AB244" s="165">
        <v>0</v>
      </c>
      <c r="AC244" s="165">
        <v>0</v>
      </c>
      <c r="AD244" s="165">
        <v>0</v>
      </c>
      <c r="AE244" s="165">
        <v>0</v>
      </c>
      <c r="AF244" s="166">
        <f t="shared" si="679"/>
        <v>0</v>
      </c>
      <c r="AG244" s="165">
        <v>0</v>
      </c>
      <c r="AH244" s="165">
        <v>0</v>
      </c>
      <c r="AI244" s="165">
        <v>0</v>
      </c>
      <c r="AJ244" s="165">
        <v>0</v>
      </c>
      <c r="AK244" s="166">
        <f t="shared" si="680"/>
        <v>0</v>
      </c>
      <c r="AL244" s="166">
        <v>0</v>
      </c>
      <c r="AM244" s="166">
        <v>0</v>
      </c>
      <c r="AN244" s="166">
        <v>0</v>
      </c>
    </row>
    <row r="245" spans="1:40" ht="15" customHeight="1" x14ac:dyDescent="0.2">
      <c r="A245" s="325" t="s">
        <v>215</v>
      </c>
      <c r="G245" s="146">
        <f t="shared" si="674"/>
        <v>0</v>
      </c>
      <c r="H245" s="37">
        <v>-17.065000000000001</v>
      </c>
      <c r="I245" s="37">
        <v>-11.916999999999998</v>
      </c>
      <c r="J245" s="37">
        <v>22.58</v>
      </c>
      <c r="K245" s="37">
        <v>67.420999999999992</v>
      </c>
      <c r="L245" s="146">
        <f t="shared" si="675"/>
        <v>61.018999999999991</v>
      </c>
      <c r="M245" s="165">
        <v>-2.528</v>
      </c>
      <c r="N245" s="165">
        <v>19.404999999999998</v>
      </c>
      <c r="O245" s="165">
        <v>-3.3149999999999977</v>
      </c>
      <c r="P245" s="165">
        <v>5.3089999999999975</v>
      </c>
      <c r="Q245" s="146">
        <f t="shared" si="676"/>
        <v>18.870999999999999</v>
      </c>
      <c r="R245" s="165">
        <v>-32.89</v>
      </c>
      <c r="S245" s="165">
        <v>-34.373000000000005</v>
      </c>
      <c r="T245" s="165">
        <v>-26.554999999999993</v>
      </c>
      <c r="U245" s="165">
        <v>-16.378</v>
      </c>
      <c r="V245" s="146">
        <f t="shared" si="677"/>
        <v>-110.196</v>
      </c>
      <c r="W245" s="165">
        <f>'Sheet (3)'!B13/1000</f>
        <v>-50.558999999999997</v>
      </c>
      <c r="X245" s="165">
        <f>W178-X178</f>
        <v>-11.633645589947264</v>
      </c>
      <c r="Y245" s="165">
        <f>X178-Y178</f>
        <v>-21.323032150499444</v>
      </c>
      <c r="Z245" s="165">
        <f>Y178-Z178</f>
        <v>-11.100119838161959</v>
      </c>
      <c r="AA245" s="166">
        <f t="shared" si="678"/>
        <v>-94.615797578608664</v>
      </c>
      <c r="AB245" s="165">
        <f>Z178-AB178</f>
        <v>-3.7556859476982254</v>
      </c>
      <c r="AC245" s="165">
        <f>AB178-AC178</f>
        <v>0.53389901857167388</v>
      </c>
      <c r="AD245" s="165">
        <f>AC178-AD178</f>
        <v>-37.645642786249141</v>
      </c>
      <c r="AE245" s="165">
        <f>AD178-AE178</f>
        <v>1.9051028934496799</v>
      </c>
      <c r="AF245" s="166">
        <f t="shared" si="679"/>
        <v>-38.962326821926013</v>
      </c>
      <c r="AG245" s="165">
        <f>AE178-AG178</f>
        <v>-14.845275053093928</v>
      </c>
      <c r="AH245" s="165">
        <f>AG178-AH178</f>
        <v>1.0757365184613263</v>
      </c>
      <c r="AI245" s="165">
        <f>AH178-AI178</f>
        <v>-30.204374661576026</v>
      </c>
      <c r="AJ245" s="165">
        <f>AI178-AJ178</f>
        <v>3.7859190817454191</v>
      </c>
      <c r="AK245" s="166">
        <f t="shared" si="680"/>
        <v>-40.187994114463208</v>
      </c>
      <c r="AL245" s="166">
        <f>AK178-AL178</f>
        <v>-20.312816468088386</v>
      </c>
      <c r="AM245" s="166">
        <f>AL178-AM178</f>
        <v>-22.344098114897065</v>
      </c>
      <c r="AN245" s="166">
        <f>AM178-AN178</f>
        <v>-24.578507926386919</v>
      </c>
    </row>
    <row r="246" spans="1:40" ht="15" customHeight="1" x14ac:dyDescent="0.2">
      <c r="A246" s="325" t="s">
        <v>216</v>
      </c>
      <c r="G246" s="146">
        <f t="shared" si="674"/>
        <v>0</v>
      </c>
      <c r="H246" s="37">
        <v>-79.534999999999997</v>
      </c>
      <c r="I246" s="37">
        <v>0.65699999999999648</v>
      </c>
      <c r="J246" s="37">
        <v>-45.352999999999994</v>
      </c>
      <c r="K246" s="37">
        <v>-29.087000000000018</v>
      </c>
      <c r="L246" s="146">
        <f t="shared" si="675"/>
        <v>-153.31800000000001</v>
      </c>
      <c r="M246" s="165">
        <v>22.725000000000001</v>
      </c>
      <c r="N246" s="165">
        <v>30.83</v>
      </c>
      <c r="O246" s="165">
        <v>-2.2469999999999999</v>
      </c>
      <c r="P246" s="165">
        <v>10.484999999999999</v>
      </c>
      <c r="Q246" s="146">
        <f t="shared" si="676"/>
        <v>61.792999999999999</v>
      </c>
      <c r="R246" s="165">
        <v>-32.142000000000003</v>
      </c>
      <c r="S246" s="165">
        <v>47.596000000000004</v>
      </c>
      <c r="T246" s="165">
        <v>20.662999999999997</v>
      </c>
      <c r="U246" s="165">
        <v>86.846000000000004</v>
      </c>
      <c r="V246" s="146">
        <f t="shared" si="677"/>
        <v>122.96299999999999</v>
      </c>
      <c r="W246" s="165">
        <f>'Sheet (3)'!B14/1000</f>
        <v>-30.411999999999999</v>
      </c>
      <c r="X246" s="165">
        <f>(X193-W193)+(X195-W195)</f>
        <v>32.78535596088625</v>
      </c>
      <c r="Y246" s="165">
        <f>(Y193-X193)+(Y195-X195)</f>
        <v>18.473815305768625</v>
      </c>
      <c r="Z246" s="165">
        <f>(Z193-Y193)+(Z195-Y195)</f>
        <v>10.814116626721329</v>
      </c>
      <c r="AA246" s="166">
        <f t="shared" si="678"/>
        <v>31.661287893376205</v>
      </c>
      <c r="AB246" s="165">
        <f>(AB193-Z193)+(AB195-Z195)</f>
        <v>2.8739192648160952</v>
      </c>
      <c r="AC246" s="165">
        <f>(AC193-AB193)+(AC195-AB195)</f>
        <v>-2.7834128057984344</v>
      </c>
      <c r="AD246" s="165">
        <f>(AD193-AC193)+(AD195-AC195)</f>
        <v>28.663190738123973</v>
      </c>
      <c r="AE246" s="165">
        <f>(AE193-AD193)+(AE195-AD195)</f>
        <v>1.0609846519144241</v>
      </c>
      <c r="AF246" s="166">
        <f t="shared" si="679"/>
        <v>29.814681849056058</v>
      </c>
      <c r="AG246" s="165">
        <f>(AG193-AE193)+(AG195-AE195)</f>
        <v>11.359874750104638</v>
      </c>
      <c r="AH246" s="165">
        <f>(AH193-AG193)+(AH195-AG195)</f>
        <v>-5.9515101632817391</v>
      </c>
      <c r="AI246" s="165">
        <f>(AI193-AH193)+(AI195-AH195)</f>
        <v>25.561617550183826</v>
      </c>
      <c r="AJ246" s="165">
        <f>(AJ193-AI193)+(AJ195-AI195)</f>
        <v>-0.2173973606741697</v>
      </c>
      <c r="AK246" s="166">
        <f t="shared" si="680"/>
        <v>30.752584776332554</v>
      </c>
      <c r="AL246" s="166">
        <f>(AL193-AK193)+(AL195-AK195)</f>
        <v>15.543736985274506</v>
      </c>
      <c r="AM246" s="166">
        <f>(AM193-AL193)+(AM195-AL195)</f>
        <v>17.098110683801707</v>
      </c>
      <c r="AN246" s="166">
        <f>(AN193-AM193)+(AN195-AM195)</f>
        <v>18.807921752182096</v>
      </c>
    </row>
    <row r="247" spans="1:40" ht="15" customHeight="1" x14ac:dyDescent="0.2">
      <c r="A247" s="200" t="s">
        <v>217</v>
      </c>
      <c r="G247" s="146">
        <f t="shared" si="674"/>
        <v>0</v>
      </c>
      <c r="H247" s="37">
        <v>-0.14399999999999999</v>
      </c>
      <c r="I247" s="37">
        <v>13.817</v>
      </c>
      <c r="J247" s="37">
        <v>7.8179999999999978</v>
      </c>
      <c r="K247" s="37">
        <v>4.3910000000000018</v>
      </c>
      <c r="L247" s="146">
        <f t="shared" si="675"/>
        <v>25.882000000000001</v>
      </c>
      <c r="M247" s="165">
        <v>8.5090000000000003</v>
      </c>
      <c r="N247" s="165">
        <v>5.8609999999999989</v>
      </c>
      <c r="O247" s="165">
        <v>5.7430000000000003</v>
      </c>
      <c r="P247" s="165">
        <v>4.7349999999999994</v>
      </c>
      <c r="Q247" s="146">
        <f t="shared" si="676"/>
        <v>24.847999999999999</v>
      </c>
      <c r="R247" s="165">
        <v>4.0289999999999999</v>
      </c>
      <c r="S247" s="165">
        <v>5.75</v>
      </c>
      <c r="T247" s="165">
        <v>-1.359</v>
      </c>
      <c r="U247" s="165">
        <v>4.0459999999999994</v>
      </c>
      <c r="V247" s="146">
        <f t="shared" si="677"/>
        <v>12.465999999999999</v>
      </c>
      <c r="W247" s="165">
        <f>'Sheet (3)'!B15/1000</f>
        <v>2.0649999999999999</v>
      </c>
      <c r="X247" s="165">
        <v>0</v>
      </c>
      <c r="Y247" s="165">
        <v>0</v>
      </c>
      <c r="Z247" s="165">
        <v>0</v>
      </c>
      <c r="AA247" s="166">
        <f t="shared" si="678"/>
        <v>2.0649999999999999</v>
      </c>
      <c r="AB247" s="165">
        <v>0</v>
      </c>
      <c r="AC247" s="165">
        <v>0</v>
      </c>
      <c r="AD247" s="165">
        <v>0</v>
      </c>
      <c r="AE247" s="165">
        <v>0</v>
      </c>
      <c r="AF247" s="166">
        <f t="shared" si="679"/>
        <v>0</v>
      </c>
      <c r="AG247" s="165">
        <v>0</v>
      </c>
      <c r="AH247" s="165">
        <v>0</v>
      </c>
      <c r="AI247" s="165">
        <v>0</v>
      </c>
      <c r="AJ247" s="165">
        <v>0</v>
      </c>
      <c r="AK247" s="166">
        <f t="shared" si="680"/>
        <v>0</v>
      </c>
      <c r="AL247" s="166">
        <v>0</v>
      </c>
      <c r="AM247" s="166">
        <v>0</v>
      </c>
      <c r="AN247" s="166">
        <v>0</v>
      </c>
    </row>
    <row r="248" spans="1:40" ht="15" customHeight="1" x14ac:dyDescent="0.2">
      <c r="A248" s="325" t="s">
        <v>2</v>
      </c>
      <c r="G248" s="146">
        <f t="shared" si="674"/>
        <v>0</v>
      </c>
      <c r="H248" s="37">
        <v>1.0009999999999999</v>
      </c>
      <c r="I248" s="37">
        <v>-31.332000000000001</v>
      </c>
      <c r="J248" s="37">
        <v>-2.7539999999999978</v>
      </c>
      <c r="K248" s="37">
        <v>-4.0140000000000029</v>
      </c>
      <c r="L248" s="146">
        <f t="shared" si="675"/>
        <v>-37.098999999999997</v>
      </c>
      <c r="M248" s="165">
        <v>1.7949999999999999</v>
      </c>
      <c r="N248" s="165">
        <v>2.9050000000000002</v>
      </c>
      <c r="O248" s="165">
        <v>-1.2080000000000002</v>
      </c>
      <c r="P248" s="165">
        <v>18.016999999999999</v>
      </c>
      <c r="Q248" s="146">
        <f t="shared" si="676"/>
        <v>21.509</v>
      </c>
      <c r="R248" s="165">
        <v>8.8130000000000006</v>
      </c>
      <c r="S248" s="165">
        <v>-9.5380000000000003</v>
      </c>
      <c r="T248" s="165">
        <v>6.0019999999999998</v>
      </c>
      <c r="U248" s="165">
        <v>24.366999999999997</v>
      </c>
      <c r="V248" s="146">
        <f t="shared" si="677"/>
        <v>29.643999999999998</v>
      </c>
      <c r="W248" s="165">
        <f>'Sheet (3)'!B16/1000</f>
        <v>0.89</v>
      </c>
      <c r="X248" s="165">
        <v>0</v>
      </c>
      <c r="Y248" s="165">
        <v>0</v>
      </c>
      <c r="Z248" s="165">
        <v>0</v>
      </c>
      <c r="AA248" s="166">
        <f t="shared" si="678"/>
        <v>0.89</v>
      </c>
      <c r="AB248" s="165">
        <v>0</v>
      </c>
      <c r="AC248" s="165">
        <v>0</v>
      </c>
      <c r="AD248" s="165">
        <v>0</v>
      </c>
      <c r="AE248" s="165">
        <v>0</v>
      </c>
      <c r="AF248" s="166">
        <f t="shared" si="679"/>
        <v>0</v>
      </c>
      <c r="AG248" s="165">
        <v>0</v>
      </c>
      <c r="AH248" s="165">
        <v>0</v>
      </c>
      <c r="AI248" s="165">
        <v>0</v>
      </c>
      <c r="AJ248" s="165">
        <v>0</v>
      </c>
      <c r="AK248" s="166">
        <f t="shared" si="680"/>
        <v>0</v>
      </c>
      <c r="AL248" s="166">
        <v>0</v>
      </c>
      <c r="AM248" s="166">
        <v>0</v>
      </c>
      <c r="AN248" s="166">
        <v>0</v>
      </c>
    </row>
    <row r="249" spans="1:40" ht="15" customHeight="1" x14ac:dyDescent="0.2">
      <c r="A249" s="200" t="s">
        <v>218</v>
      </c>
      <c r="G249" s="146">
        <f t="shared" si="674"/>
        <v>0</v>
      </c>
      <c r="H249" s="37">
        <v>-1.49</v>
      </c>
      <c r="I249" s="37">
        <v>-0.66200000000000014</v>
      </c>
      <c r="J249" s="37">
        <v>-1.097</v>
      </c>
      <c r="K249" s="37">
        <v>-0.52800000000000002</v>
      </c>
      <c r="L249" s="146">
        <f t="shared" si="675"/>
        <v>-3.7770000000000001</v>
      </c>
      <c r="M249" s="165">
        <v>-1.3169999999999999</v>
      </c>
      <c r="N249" s="165">
        <v>-2.133</v>
      </c>
      <c r="O249" s="165">
        <v>-1.7709999999999999</v>
      </c>
      <c r="P249" s="165">
        <v>-1.6269999999999998</v>
      </c>
      <c r="Q249" s="146">
        <f t="shared" si="676"/>
        <v>-6.8479999999999999</v>
      </c>
      <c r="R249" s="165">
        <v>-1.163</v>
      </c>
      <c r="S249" s="165">
        <v>-1.3320000000000001</v>
      </c>
      <c r="T249" s="165">
        <v>-0.94699999999999984</v>
      </c>
      <c r="U249" s="165">
        <v>-0.98200000000000021</v>
      </c>
      <c r="V249" s="146">
        <f t="shared" si="677"/>
        <v>-4.4240000000000004</v>
      </c>
      <c r="W249" s="165">
        <f>'Sheet (3)'!B17/1000</f>
        <v>-0.66400000000000003</v>
      </c>
      <c r="X249" s="165">
        <v>0</v>
      </c>
      <c r="Y249" s="165">
        <v>0</v>
      </c>
      <c r="Z249" s="165">
        <v>0</v>
      </c>
      <c r="AA249" s="166">
        <f t="shared" si="678"/>
        <v>-0.66400000000000003</v>
      </c>
      <c r="AB249" s="165">
        <v>0</v>
      </c>
      <c r="AC249" s="165">
        <v>0</v>
      </c>
      <c r="AD249" s="165">
        <v>0</v>
      </c>
      <c r="AE249" s="165">
        <v>0</v>
      </c>
      <c r="AF249" s="166">
        <f t="shared" si="679"/>
        <v>0</v>
      </c>
      <c r="AG249" s="165">
        <v>0</v>
      </c>
      <c r="AH249" s="165">
        <v>0</v>
      </c>
      <c r="AI249" s="165">
        <v>0</v>
      </c>
      <c r="AJ249" s="165">
        <v>0</v>
      </c>
      <c r="AK249" s="166">
        <f t="shared" si="680"/>
        <v>0</v>
      </c>
      <c r="AL249" s="166">
        <v>0</v>
      </c>
      <c r="AM249" s="166">
        <v>0</v>
      </c>
      <c r="AN249" s="166">
        <v>0</v>
      </c>
    </row>
    <row r="250" spans="1:40" ht="15" customHeight="1" x14ac:dyDescent="0.2">
      <c r="A250" s="201" t="s">
        <v>219</v>
      </c>
      <c r="G250" s="146">
        <f t="shared" si="674"/>
        <v>0</v>
      </c>
      <c r="H250" s="37">
        <v>5.4630000000000001</v>
      </c>
      <c r="I250" s="37">
        <v>-8.527000000000001</v>
      </c>
      <c r="J250" s="37">
        <v>74.119000000000014</v>
      </c>
      <c r="K250" s="37">
        <v>3.5189999999999912</v>
      </c>
      <c r="L250" s="146">
        <f t="shared" si="675"/>
        <v>74.573999999999998</v>
      </c>
      <c r="M250" s="165">
        <v>-5.5309999999999997</v>
      </c>
      <c r="N250" s="165">
        <v>-0.72500000000000053</v>
      </c>
      <c r="O250" s="165">
        <v>5.0590000000000002</v>
      </c>
      <c r="P250" s="165">
        <v>-2.528</v>
      </c>
      <c r="Q250" s="146">
        <f t="shared" si="676"/>
        <v>-3.7250000000000001</v>
      </c>
      <c r="R250" s="165">
        <v>7.2050000000000001</v>
      </c>
      <c r="S250" s="165">
        <v>-2.5620000000000003</v>
      </c>
      <c r="T250" s="165">
        <v>-10.452999999999999</v>
      </c>
      <c r="U250" s="165">
        <v>-22.490000000000002</v>
      </c>
      <c r="V250" s="146">
        <f t="shared" si="677"/>
        <v>-28.3</v>
      </c>
      <c r="W250" s="165">
        <f>'Sheet (3)'!B18/1000</f>
        <v>-4.7729999999999997</v>
      </c>
      <c r="X250" s="165">
        <f>W180-X180</f>
        <v>-4.4400448555774972</v>
      </c>
      <c r="Y250" s="165">
        <f>X180-Y180</f>
        <v>-4.2504656460600216</v>
      </c>
      <c r="Z250" s="165">
        <f>Y180-Z180</f>
        <v>-2.7395641587148134</v>
      </c>
      <c r="AA250" s="166">
        <f t="shared" si="678"/>
        <v>-16.203074660352332</v>
      </c>
      <c r="AB250" s="165">
        <f>Z180-AB180</f>
        <v>-0.5814384093104934</v>
      </c>
      <c r="AC250" s="165">
        <f>AB180-AC180</f>
        <v>1.1278499454074336</v>
      </c>
      <c r="AD250" s="165">
        <f>AC180-AD180</f>
        <v>-5.7647798961638586</v>
      </c>
      <c r="AE250" s="165">
        <f>AD180-AE180</f>
        <v>-0.81360386707328303</v>
      </c>
      <c r="AF250" s="166">
        <f t="shared" si="679"/>
        <v>-6.0319722271402014</v>
      </c>
      <c r="AG250" s="165">
        <f>AE180-AG180</f>
        <v>-2.2982787253385197</v>
      </c>
      <c r="AH250" s="165">
        <f>AG180-AH180</f>
        <v>2.4235577537946398</v>
      </c>
      <c r="AI250" s="165">
        <f>AH180-AI180</f>
        <v>-5.7537867562328273</v>
      </c>
      <c r="AJ250" s="165">
        <f>AI180-AJ180</f>
        <v>-0.59321679783599279</v>
      </c>
      <c r="AK250" s="166">
        <f t="shared" si="680"/>
        <v>-6.2217245256127001</v>
      </c>
      <c r="AL250" s="166">
        <f>AK180-AL180</f>
        <v>-3.1447388999764172</v>
      </c>
      <c r="AM250" s="166">
        <f>AL180-AM180</f>
        <v>-3.4592127899740319</v>
      </c>
      <c r="AN250" s="166">
        <f>AM180-AN180</f>
        <v>-3.8051340689714692</v>
      </c>
    </row>
    <row r="251" spans="1:40" ht="15" customHeight="1" x14ac:dyDescent="0.2">
      <c r="A251" s="184" t="s">
        <v>220</v>
      </c>
      <c r="G251" s="186">
        <f t="shared" ref="G251" si="681">SUM(G230:G241)</f>
        <v>0</v>
      </c>
      <c r="H251" s="185">
        <f t="shared" ref="H251:AL251" si="682">SUM(H230:H241)</f>
        <v>27.445000000000022</v>
      </c>
      <c r="I251" s="185">
        <f t="shared" si="682"/>
        <v>24.733999999999995</v>
      </c>
      <c r="J251" s="185">
        <f t="shared" si="682"/>
        <v>160.19660000000002</v>
      </c>
      <c r="K251" s="185">
        <f t="shared" si="682"/>
        <v>137.11539999999997</v>
      </c>
      <c r="L251" s="186">
        <f t="shared" si="682"/>
        <v>349.49099999999993</v>
      </c>
      <c r="M251" s="185">
        <f t="shared" si="682"/>
        <v>146.72499999999999</v>
      </c>
      <c r="N251" s="185">
        <f t="shared" si="682"/>
        <v>72.271999999999991</v>
      </c>
      <c r="O251" s="185">
        <f t="shared" si="682"/>
        <v>98.918000000000035</v>
      </c>
      <c r="P251" s="185">
        <f t="shared" si="682"/>
        <v>146.75399999999996</v>
      </c>
      <c r="Q251" s="186">
        <f t="shared" ref="Q251" si="683">SUM(Q230:Q241)</f>
        <v>464.66900000000004</v>
      </c>
      <c r="R251" s="187">
        <f t="shared" si="682"/>
        <v>39.289999999999992</v>
      </c>
      <c r="S251" s="187">
        <f t="shared" si="682"/>
        <v>10.818000000000012</v>
      </c>
      <c r="T251" s="185">
        <f t="shared" si="682"/>
        <v>35.907999999999987</v>
      </c>
      <c r="U251" s="187">
        <f t="shared" si="682"/>
        <v>107.62199999999999</v>
      </c>
      <c r="V251" s="186">
        <f t="shared" si="682"/>
        <v>193.63800000000003</v>
      </c>
      <c r="W251" s="187">
        <f t="shared" si="682"/>
        <v>5.402000000000001</v>
      </c>
      <c r="X251" s="187">
        <f t="shared" si="682"/>
        <v>32.326957594355449</v>
      </c>
      <c r="Y251" s="187">
        <f t="shared" si="682"/>
        <v>49.959963054718997</v>
      </c>
      <c r="Z251" s="187">
        <f t="shared" si="682"/>
        <v>75.574956382617202</v>
      </c>
      <c r="AA251" s="168">
        <f t="shared" ref="AA251" si="684">SUM(AA230:AA241)</f>
        <v>163.26387703169169</v>
      </c>
      <c r="AB251" s="187">
        <f t="shared" si="682"/>
        <v>98.199157941558752</v>
      </c>
      <c r="AC251" s="187">
        <f t="shared" si="682"/>
        <v>94.641891652279966</v>
      </c>
      <c r="AD251" s="187">
        <f t="shared" si="682"/>
        <v>47.809465060248584</v>
      </c>
      <c r="AE251" s="187">
        <f t="shared" si="682"/>
        <v>109.37296490966676</v>
      </c>
      <c r="AF251" s="168">
        <f t="shared" si="682"/>
        <v>350.02347956375411</v>
      </c>
      <c r="AG251" s="187">
        <f t="shared" si="682"/>
        <v>94.016729135237938</v>
      </c>
      <c r="AH251" s="187">
        <f t="shared" si="682"/>
        <v>102.78669065968634</v>
      </c>
      <c r="AI251" s="187">
        <f t="shared" si="682"/>
        <v>68.312209270426521</v>
      </c>
      <c r="AJ251" s="187">
        <f t="shared" si="682"/>
        <v>119.9096316721391</v>
      </c>
      <c r="AK251" s="168">
        <f t="shared" ref="AK251" si="685">SUM(AK230:AK241)</f>
        <v>385.02526073748987</v>
      </c>
      <c r="AL251" s="168">
        <f t="shared" si="682"/>
        <v>429.84850443761889</v>
      </c>
      <c r="AM251" s="168">
        <f t="shared" ref="AM251:AN251" si="686">SUM(AM230:AM241)</f>
        <v>443.34023718379888</v>
      </c>
      <c r="AN251" s="168">
        <f t="shared" si="686"/>
        <v>458.18114320459642</v>
      </c>
    </row>
    <row r="252" spans="1:40" ht="15" customHeight="1" x14ac:dyDescent="0.2">
      <c r="A252" s="1"/>
      <c r="G252" s="177"/>
      <c r="H252" s="188"/>
      <c r="I252" s="188"/>
      <c r="J252" s="188"/>
      <c r="K252" s="188"/>
      <c r="L252" s="177"/>
      <c r="M252" s="189"/>
      <c r="N252" s="189"/>
      <c r="O252" s="189"/>
      <c r="P252" s="189"/>
      <c r="Q252" s="177"/>
      <c r="R252" s="190"/>
      <c r="S252" s="190"/>
      <c r="T252" s="190"/>
      <c r="U252" s="190"/>
      <c r="V252" s="177"/>
      <c r="W252" s="189"/>
      <c r="X252" s="189"/>
      <c r="Y252" s="189"/>
      <c r="Z252" s="189"/>
      <c r="AA252" s="198"/>
      <c r="AB252" s="21"/>
      <c r="AC252" s="21"/>
      <c r="AD252" s="21"/>
      <c r="AE252" s="21"/>
      <c r="AF252" s="198"/>
      <c r="AG252" s="21"/>
      <c r="AH252" s="21"/>
      <c r="AI252" s="21"/>
      <c r="AJ252" s="21"/>
      <c r="AK252" s="198"/>
      <c r="AL252" s="198"/>
      <c r="AM252" s="198"/>
      <c r="AN252" s="198"/>
    </row>
    <row r="253" spans="1:40" ht="15" customHeight="1" x14ac:dyDescent="0.2">
      <c r="A253" s="199" t="s">
        <v>221</v>
      </c>
      <c r="G253" s="146"/>
      <c r="H253" s="37"/>
      <c r="I253" s="37"/>
      <c r="J253" s="37"/>
      <c r="K253" s="37"/>
      <c r="L253" s="146"/>
      <c r="M253" s="165"/>
      <c r="N253" s="165"/>
      <c r="O253" s="165"/>
      <c r="P253" s="165"/>
      <c r="Q253" s="146"/>
      <c r="R253" s="30"/>
      <c r="S253" s="30"/>
      <c r="T253" s="30"/>
      <c r="U253" s="30"/>
      <c r="V253" s="146"/>
      <c r="W253" s="165"/>
      <c r="X253" s="165"/>
      <c r="Y253" s="165"/>
      <c r="Z253" s="165"/>
      <c r="AA253" s="166"/>
      <c r="AB253" s="21"/>
      <c r="AC253" s="21"/>
      <c r="AD253" s="21"/>
      <c r="AE253" s="21"/>
      <c r="AF253" s="166"/>
      <c r="AG253" s="21"/>
      <c r="AH253" s="21"/>
      <c r="AI253" s="21"/>
      <c r="AJ253" s="21"/>
      <c r="AK253" s="166"/>
      <c r="AL253" s="166"/>
      <c r="AM253" s="166"/>
      <c r="AN253" s="166"/>
    </row>
    <row r="254" spans="1:40" ht="15" customHeight="1" x14ac:dyDescent="0.2">
      <c r="A254" s="200" t="s">
        <v>222</v>
      </c>
      <c r="G254" s="146">
        <f>SUM(C254:F254)</f>
        <v>0</v>
      </c>
      <c r="H254" s="37">
        <v>-17.231999999999999</v>
      </c>
      <c r="I254" s="37">
        <v>-12.129000000000001</v>
      </c>
      <c r="J254" s="37">
        <v>-9.7110000000000021</v>
      </c>
      <c r="K254" s="37">
        <v>-8.0150000000000006</v>
      </c>
      <c r="L254" s="146">
        <f>SUM(H254:K254)</f>
        <v>-47.087000000000003</v>
      </c>
      <c r="M254" s="165">
        <v>-7.2629999999999999</v>
      </c>
      <c r="N254" s="165">
        <v>-6.0500000000000007</v>
      </c>
      <c r="O254" s="165">
        <v>-8.0340000000000007</v>
      </c>
      <c r="P254" s="165">
        <v>-16.341999999999999</v>
      </c>
      <c r="Q254" s="146">
        <f>SUM(M254:P254)</f>
        <v>-37.689</v>
      </c>
      <c r="R254" s="165">
        <v>-13.122999999999999</v>
      </c>
      <c r="S254" s="165">
        <v>-11.026999999999999</v>
      </c>
      <c r="T254" s="165">
        <v>-12.955</v>
      </c>
      <c r="U254" s="165">
        <v>-15.763000000000005</v>
      </c>
      <c r="V254" s="146">
        <f>SUM(R254:U254)</f>
        <v>-52.868000000000002</v>
      </c>
      <c r="W254" s="165">
        <f>'Sheet (3)'!B22/1000</f>
        <v>-24.39</v>
      </c>
      <c r="X254" s="165">
        <f>-X273*X120</f>
        <v>-25.397925637499998</v>
      </c>
      <c r="Y254" s="165">
        <f>-Y273*Y120</f>
        <v>-26.615408137500005</v>
      </c>
      <c r="Z254" s="165">
        <f>-Z273*Z120</f>
        <v>-27.400115437500002</v>
      </c>
      <c r="AA254" s="166">
        <f>SUM(W254:Z254)</f>
        <v>-103.8034492125</v>
      </c>
      <c r="AB254" s="165">
        <f>-AB273*AB120</f>
        <v>-27.566659799250001</v>
      </c>
      <c r="AC254" s="165">
        <f>-AC273*AC120</f>
        <v>-27.243604001250002</v>
      </c>
      <c r="AD254" s="165">
        <f>-AD273*AD120</f>
        <v>-28.894839236249997</v>
      </c>
      <c r="AE254" s="165">
        <f>-AE273*AE120</f>
        <v>-29.127883931249997</v>
      </c>
      <c r="AF254" s="166">
        <f>SUM(AB254:AE254)</f>
        <v>-112.832986968</v>
      </c>
      <c r="AG254" s="165">
        <f>-AG273*AG120</f>
        <v>-29.786191599449996</v>
      </c>
      <c r="AH254" s="165">
        <f>-AH273*AH120</f>
        <v>-29.091999621749999</v>
      </c>
      <c r="AI254" s="165">
        <f>-AI273*AI120</f>
        <v>-30.74008603575</v>
      </c>
      <c r="AJ254" s="165">
        <f>-AJ273*AJ120</f>
        <v>-30.910004141250003</v>
      </c>
      <c r="AK254" s="166">
        <f>SUM(AG254:AJ254)</f>
        <v>-120.52828139819999</v>
      </c>
      <c r="AL254" s="166">
        <f>-AL273*AL120</f>
        <v>-124.04065505052002</v>
      </c>
      <c r="AM254" s="166">
        <f>-AM273*AM120</f>
        <v>-127.904266068072</v>
      </c>
      <c r="AN254" s="166">
        <f>-AN273*AN120</f>
        <v>-132.15423818737921</v>
      </c>
    </row>
    <row r="255" spans="1:40" ht="15" customHeight="1" x14ac:dyDescent="0.2">
      <c r="A255" s="200" t="s">
        <v>152</v>
      </c>
      <c r="G255" s="146">
        <f t="shared" ref="G255:G258" si="687">SUM(C255:F255)</f>
        <v>0</v>
      </c>
      <c r="H255" s="37">
        <v>18.809000000000001</v>
      </c>
      <c r="I255" s="37">
        <v>2.1999999999998465E-2</v>
      </c>
      <c r="J255" s="37">
        <v>1.3000000000001677E-2</v>
      </c>
      <c r="K255" s="37">
        <v>11.328999999999997</v>
      </c>
      <c r="L255" s="146">
        <f t="shared" ref="L255:L258" si="688">SUM(H255:K255)</f>
        <v>30.172999999999998</v>
      </c>
      <c r="M255" s="165">
        <v>4.8000000000000001E-2</v>
      </c>
      <c r="N255" s="165">
        <v>3.7999999999999992E-2</v>
      </c>
      <c r="O255" s="165">
        <v>5.4999999999999993E-2</v>
      </c>
      <c r="P255" s="165">
        <v>1.3000000000000012E-2</v>
      </c>
      <c r="Q255" s="146">
        <f t="shared" ref="Q255:Q258" si="689">SUM(M255:P255)</f>
        <v>0.154</v>
      </c>
      <c r="R255" s="165">
        <v>1E-3</v>
      </c>
      <c r="S255" s="165">
        <v>4.0000000000000001E-3</v>
      </c>
      <c r="T255" s="165">
        <v>-1E-3</v>
      </c>
      <c r="U255" s="165">
        <v>3.8999999999999993E-2</v>
      </c>
      <c r="V255" s="146">
        <f t="shared" ref="V255:V258" si="690">SUM(R255:U255)</f>
        <v>4.2999999999999997E-2</v>
      </c>
      <c r="W255" s="165">
        <f>'Sheet (3)'!B23/1000</f>
        <v>0.03</v>
      </c>
      <c r="X255" s="165">
        <v>0</v>
      </c>
      <c r="Y255" s="165">
        <v>0</v>
      </c>
      <c r="Z255" s="165">
        <v>0</v>
      </c>
      <c r="AA255" s="166">
        <f t="shared" ref="AA255:AA258" si="691">SUM(W255:Z255)</f>
        <v>0.03</v>
      </c>
      <c r="AB255" s="165">
        <v>0</v>
      </c>
      <c r="AC255" s="165">
        <v>0</v>
      </c>
      <c r="AD255" s="165">
        <v>0</v>
      </c>
      <c r="AE255" s="165">
        <v>0</v>
      </c>
      <c r="AF255" s="166">
        <f t="shared" ref="AF255:AF258" si="692">SUM(AB255:AE255)</f>
        <v>0</v>
      </c>
      <c r="AG255" s="165">
        <v>0</v>
      </c>
      <c r="AH255" s="165">
        <v>0</v>
      </c>
      <c r="AI255" s="165">
        <v>0</v>
      </c>
      <c r="AJ255" s="165">
        <v>0</v>
      </c>
      <c r="AK255" s="166">
        <f t="shared" ref="AK255:AK258" si="693">SUM(AG255:AJ255)</f>
        <v>0</v>
      </c>
      <c r="AL255" s="166">
        <v>0</v>
      </c>
      <c r="AM255" s="166">
        <v>0</v>
      </c>
      <c r="AN255" s="166">
        <v>0</v>
      </c>
    </row>
    <row r="256" spans="1:40" ht="15" customHeight="1" x14ac:dyDescent="0.2">
      <c r="A256" s="200" t="s">
        <v>223</v>
      </c>
      <c r="G256" s="146">
        <f t="shared" si="687"/>
        <v>0</v>
      </c>
      <c r="H256" s="37">
        <v>0</v>
      </c>
      <c r="I256" s="37"/>
      <c r="J256" s="37">
        <v>10.443</v>
      </c>
      <c r="K256" s="37">
        <v>0</v>
      </c>
      <c r="L256" s="146">
        <f t="shared" si="688"/>
        <v>10.443</v>
      </c>
      <c r="M256" s="165">
        <v>0</v>
      </c>
      <c r="N256" s="165">
        <v>0</v>
      </c>
      <c r="O256" s="165">
        <v>0</v>
      </c>
      <c r="P256" s="165">
        <v>0</v>
      </c>
      <c r="Q256" s="146">
        <f t="shared" si="689"/>
        <v>0</v>
      </c>
      <c r="R256" s="165">
        <v>0</v>
      </c>
      <c r="S256" s="165">
        <v>0</v>
      </c>
      <c r="T256" s="165">
        <v>6</v>
      </c>
      <c r="U256" s="165">
        <v>-21.548999999999999</v>
      </c>
      <c r="V256" s="146">
        <f t="shared" si="690"/>
        <v>-15.548999999999999</v>
      </c>
      <c r="W256" s="165">
        <f>'Sheet (3)'!B24/1000</f>
        <v>0.878</v>
      </c>
      <c r="X256" s="165">
        <v>0</v>
      </c>
      <c r="Y256" s="165">
        <v>0</v>
      </c>
      <c r="Z256" s="165">
        <v>0</v>
      </c>
      <c r="AA256" s="166">
        <f t="shared" si="691"/>
        <v>0.878</v>
      </c>
      <c r="AB256" s="165">
        <v>0</v>
      </c>
      <c r="AC256" s="165">
        <v>0</v>
      </c>
      <c r="AD256" s="165">
        <v>0</v>
      </c>
      <c r="AE256" s="165">
        <v>0</v>
      </c>
      <c r="AF256" s="166">
        <f t="shared" si="692"/>
        <v>0</v>
      </c>
      <c r="AG256" s="165">
        <v>0</v>
      </c>
      <c r="AH256" s="165">
        <v>0</v>
      </c>
      <c r="AI256" s="165">
        <v>0</v>
      </c>
      <c r="AJ256" s="165">
        <v>0</v>
      </c>
      <c r="AK256" s="166">
        <f t="shared" si="693"/>
        <v>0</v>
      </c>
      <c r="AL256" s="166">
        <v>0</v>
      </c>
      <c r="AM256" s="166">
        <v>0</v>
      </c>
      <c r="AN256" s="166">
        <v>0</v>
      </c>
    </row>
    <row r="257" spans="1:40" ht="15" customHeight="1" x14ac:dyDescent="0.2">
      <c r="A257" s="200" t="s">
        <v>224</v>
      </c>
      <c r="G257" s="146">
        <f t="shared" si="687"/>
        <v>0</v>
      </c>
      <c r="H257" s="37">
        <v>0</v>
      </c>
      <c r="I257" s="37">
        <v>12.683999999999999</v>
      </c>
      <c r="J257" s="37">
        <v>1.6000000000000014E-2</v>
      </c>
      <c r="K257" s="37">
        <v>0</v>
      </c>
      <c r="L257" s="146">
        <f t="shared" si="688"/>
        <v>12.7</v>
      </c>
      <c r="M257" s="165">
        <v>0</v>
      </c>
      <c r="N257" s="165">
        <v>16.565999999999999</v>
      </c>
      <c r="O257" s="165">
        <v>0</v>
      </c>
      <c r="P257" s="165">
        <v>9.0000000000003411E-3</v>
      </c>
      <c r="Q257" s="146">
        <f t="shared" si="689"/>
        <v>16.574999999999999</v>
      </c>
      <c r="R257" s="165">
        <v>7.0000000000000001E-3</v>
      </c>
      <c r="S257" s="165">
        <v>11.298</v>
      </c>
      <c r="T257" s="165">
        <v>0</v>
      </c>
      <c r="U257" s="165">
        <v>1.2520000000000007</v>
      </c>
      <c r="V257" s="146">
        <f t="shared" si="690"/>
        <v>12.557</v>
      </c>
      <c r="W257" s="165">
        <f>'Sheet (3)'!B25/1000</f>
        <v>7.0000000000000001E-3</v>
      </c>
      <c r="X257" s="165">
        <v>0</v>
      </c>
      <c r="Y257" s="165">
        <v>0</v>
      </c>
      <c r="Z257" s="165">
        <v>0</v>
      </c>
      <c r="AA257" s="166">
        <f t="shared" si="691"/>
        <v>7.0000000000000001E-3</v>
      </c>
      <c r="AB257" s="165">
        <v>0</v>
      </c>
      <c r="AC257" s="165">
        <v>0</v>
      </c>
      <c r="AD257" s="165">
        <v>0</v>
      </c>
      <c r="AE257" s="165">
        <v>0</v>
      </c>
      <c r="AF257" s="166">
        <f t="shared" si="692"/>
        <v>0</v>
      </c>
      <c r="AG257" s="165">
        <v>0</v>
      </c>
      <c r="AH257" s="165">
        <v>0</v>
      </c>
      <c r="AI257" s="165">
        <v>0</v>
      </c>
      <c r="AJ257" s="165">
        <v>0</v>
      </c>
      <c r="AK257" s="166">
        <f t="shared" si="693"/>
        <v>0</v>
      </c>
      <c r="AL257" s="166">
        <v>0</v>
      </c>
      <c r="AM257" s="166">
        <v>0</v>
      </c>
      <c r="AN257" s="166">
        <v>0</v>
      </c>
    </row>
    <row r="258" spans="1:40" ht="15" customHeight="1" x14ac:dyDescent="0.2">
      <c r="A258" s="201" t="s">
        <v>225</v>
      </c>
      <c r="G258" s="146">
        <f t="shared" si="687"/>
        <v>0</v>
      </c>
      <c r="H258" s="37">
        <v>-2E-3</v>
      </c>
      <c r="I258" s="37">
        <v>-2.0999999999999998E-2</v>
      </c>
      <c r="J258" s="37">
        <v>-13.085999999999999</v>
      </c>
      <c r="K258" s="37">
        <v>0</v>
      </c>
      <c r="L258" s="146">
        <f t="shared" si="688"/>
        <v>-13.108999999999998</v>
      </c>
      <c r="M258" s="165">
        <v>-2.74</v>
      </c>
      <c r="N258" s="165">
        <v>-9.9999999999997868E-3</v>
      </c>
      <c r="O258" s="165">
        <v>-11.576000000000001</v>
      </c>
      <c r="P258" s="165">
        <v>-1.0999999999999233E-2</v>
      </c>
      <c r="Q258" s="146">
        <f t="shared" si="689"/>
        <v>-14.337</v>
      </c>
      <c r="R258" s="165"/>
      <c r="S258" s="165">
        <v>-8.0000000000000002E-3</v>
      </c>
      <c r="T258" s="165">
        <v>-9.6110000000000007</v>
      </c>
      <c r="U258" s="165">
        <v>-1.2999999999999901E-2</v>
      </c>
      <c r="V258" s="146">
        <f t="shared" si="690"/>
        <v>-9.6319999999999997</v>
      </c>
      <c r="W258" s="165">
        <v>0</v>
      </c>
      <c r="X258" s="165">
        <v>0</v>
      </c>
      <c r="Y258" s="165">
        <v>0</v>
      </c>
      <c r="Z258" s="165">
        <v>0</v>
      </c>
      <c r="AA258" s="166">
        <f t="shared" si="691"/>
        <v>0</v>
      </c>
      <c r="AB258" s="165">
        <v>0</v>
      </c>
      <c r="AC258" s="165">
        <v>0</v>
      </c>
      <c r="AD258" s="165">
        <v>0</v>
      </c>
      <c r="AE258" s="165">
        <v>0</v>
      </c>
      <c r="AF258" s="166">
        <f t="shared" si="692"/>
        <v>0</v>
      </c>
      <c r="AG258" s="165">
        <v>0</v>
      </c>
      <c r="AH258" s="165">
        <v>0</v>
      </c>
      <c r="AI258" s="165">
        <v>0</v>
      </c>
      <c r="AJ258" s="165">
        <v>0</v>
      </c>
      <c r="AK258" s="166">
        <f t="shared" si="693"/>
        <v>0</v>
      </c>
      <c r="AL258" s="166">
        <v>0</v>
      </c>
      <c r="AM258" s="166">
        <v>0</v>
      </c>
      <c r="AN258" s="166">
        <v>0</v>
      </c>
    </row>
    <row r="259" spans="1:40" ht="15" customHeight="1" x14ac:dyDescent="0.2">
      <c r="A259" s="184" t="s">
        <v>226</v>
      </c>
      <c r="G259" s="168">
        <f t="shared" ref="G259:Q259" si="694">SUM(G254:G258)</f>
        <v>0</v>
      </c>
      <c r="H259" s="187">
        <f t="shared" si="694"/>
        <v>1.5750000000000017</v>
      </c>
      <c r="I259" s="187">
        <f t="shared" si="694"/>
        <v>0.55599999999999639</v>
      </c>
      <c r="J259" s="187">
        <f t="shared" si="694"/>
        <v>-12.324999999999999</v>
      </c>
      <c r="K259" s="187">
        <f t="shared" si="694"/>
        <v>3.3139999999999965</v>
      </c>
      <c r="L259" s="168">
        <f t="shared" si="694"/>
        <v>-6.8800000000000043</v>
      </c>
      <c r="M259" s="187">
        <f t="shared" si="694"/>
        <v>-9.9550000000000001</v>
      </c>
      <c r="N259" s="187">
        <f t="shared" si="694"/>
        <v>10.543999999999999</v>
      </c>
      <c r="O259" s="187">
        <f t="shared" si="694"/>
        <v>-19.555</v>
      </c>
      <c r="P259" s="187">
        <f t="shared" ref="P259" si="695">R259-SUM(M259:O259)</f>
        <v>5.8510000000000009</v>
      </c>
      <c r="Q259" s="168">
        <f t="shared" si="694"/>
        <v>-35.296999999999997</v>
      </c>
      <c r="R259" s="187">
        <f t="shared" ref="R259:AL259" si="696">SUM(R254:R258)</f>
        <v>-13.115</v>
      </c>
      <c r="S259" s="187">
        <f t="shared" si="696"/>
        <v>0.26700000000000035</v>
      </c>
      <c r="T259" s="187">
        <f t="shared" si="696"/>
        <v>-16.567</v>
      </c>
      <c r="U259" s="187">
        <f t="shared" si="696"/>
        <v>-36.033999999999999</v>
      </c>
      <c r="V259" s="168">
        <f t="shared" ref="V259" si="697">SUM(V254:V258)</f>
        <v>-65.448999999999998</v>
      </c>
      <c r="W259" s="187">
        <f t="shared" si="696"/>
        <v>-23.474999999999998</v>
      </c>
      <c r="X259" s="187">
        <f t="shared" si="696"/>
        <v>-25.397925637499998</v>
      </c>
      <c r="Y259" s="187">
        <f t="shared" si="696"/>
        <v>-26.615408137500005</v>
      </c>
      <c r="Z259" s="187">
        <f t="shared" si="696"/>
        <v>-27.400115437500002</v>
      </c>
      <c r="AA259" s="168">
        <f t="shared" ref="AA259" si="698">SUM(AA254:AA258)</f>
        <v>-102.88844921249999</v>
      </c>
      <c r="AB259" s="187">
        <f t="shared" si="696"/>
        <v>-27.566659799250001</v>
      </c>
      <c r="AC259" s="187">
        <f t="shared" si="696"/>
        <v>-27.243604001250002</v>
      </c>
      <c r="AD259" s="187">
        <f t="shared" si="696"/>
        <v>-28.894839236249997</v>
      </c>
      <c r="AE259" s="187">
        <f t="shared" si="696"/>
        <v>-29.127883931249997</v>
      </c>
      <c r="AF259" s="168">
        <f t="shared" ref="AF259" si="699">SUM(AF254:AF258)</f>
        <v>-112.832986968</v>
      </c>
      <c r="AG259" s="187">
        <f t="shared" si="696"/>
        <v>-29.786191599449996</v>
      </c>
      <c r="AH259" s="187">
        <f t="shared" si="696"/>
        <v>-29.091999621749999</v>
      </c>
      <c r="AI259" s="187">
        <f t="shared" si="696"/>
        <v>-30.74008603575</v>
      </c>
      <c r="AJ259" s="187">
        <f t="shared" si="696"/>
        <v>-30.910004141250003</v>
      </c>
      <c r="AK259" s="168">
        <f t="shared" ref="AK259" si="700">SUM(AK254:AK258)</f>
        <v>-120.52828139819999</v>
      </c>
      <c r="AL259" s="168">
        <f t="shared" si="696"/>
        <v>-124.04065505052002</v>
      </c>
      <c r="AM259" s="168">
        <f t="shared" ref="AM259:AN259" si="701">SUM(AM254:AM258)</f>
        <v>-127.904266068072</v>
      </c>
      <c r="AN259" s="168">
        <f t="shared" si="701"/>
        <v>-132.15423818737921</v>
      </c>
    </row>
    <row r="260" spans="1:40" ht="15" customHeight="1" x14ac:dyDescent="0.2">
      <c r="A260" s="1"/>
      <c r="G260" s="177"/>
      <c r="H260" s="188"/>
      <c r="I260" s="188"/>
      <c r="J260" s="188"/>
      <c r="K260" s="188"/>
      <c r="L260" s="177"/>
      <c r="M260" s="189"/>
      <c r="N260" s="189"/>
      <c r="O260" s="189"/>
      <c r="P260" s="189"/>
      <c r="Q260" s="177"/>
      <c r="R260" s="189"/>
      <c r="S260" s="190"/>
      <c r="T260" s="190"/>
      <c r="U260" s="190"/>
      <c r="V260" s="177"/>
      <c r="W260" s="189"/>
      <c r="X260" s="189"/>
      <c r="Y260" s="189"/>
      <c r="Z260" s="189"/>
      <c r="AA260" s="198"/>
      <c r="AB260" s="21"/>
      <c r="AC260" s="21"/>
      <c r="AD260" s="21"/>
      <c r="AE260" s="21"/>
      <c r="AF260" s="198"/>
      <c r="AG260" s="21"/>
      <c r="AH260" s="21"/>
      <c r="AI260" s="21"/>
      <c r="AJ260" s="21"/>
      <c r="AK260" s="198"/>
      <c r="AL260" s="198"/>
      <c r="AM260" s="198"/>
      <c r="AN260" s="198"/>
    </row>
    <row r="261" spans="1:40" ht="15" customHeight="1" x14ac:dyDescent="0.2">
      <c r="A261" s="204" t="s">
        <v>227</v>
      </c>
      <c r="G261" s="146"/>
      <c r="H261" s="37"/>
      <c r="I261" s="37"/>
      <c r="J261" s="37"/>
      <c r="K261" s="37"/>
      <c r="L261" s="146"/>
      <c r="M261" s="165"/>
      <c r="N261" s="165"/>
      <c r="O261" s="165"/>
      <c r="P261" s="165"/>
      <c r="Q261" s="146"/>
      <c r="R261" s="165"/>
      <c r="S261" s="30"/>
      <c r="T261" s="30"/>
      <c r="U261" s="30"/>
      <c r="V261" s="146"/>
      <c r="W261" s="165"/>
      <c r="X261" s="165"/>
      <c r="Y261" s="165"/>
      <c r="Z261" s="165"/>
      <c r="AA261" s="166"/>
      <c r="AB261" s="21"/>
      <c r="AC261" s="21"/>
      <c r="AD261" s="21"/>
      <c r="AE261" s="21"/>
      <c r="AF261" s="166"/>
      <c r="AG261" s="21"/>
      <c r="AH261" s="21"/>
      <c r="AI261" s="21"/>
      <c r="AJ261" s="21"/>
      <c r="AK261" s="166"/>
      <c r="AL261" s="166"/>
      <c r="AM261" s="166"/>
      <c r="AN261" s="166"/>
    </row>
    <row r="262" spans="1:40" ht="15" customHeight="1" x14ac:dyDescent="0.2">
      <c r="A262" s="202" t="s">
        <v>228</v>
      </c>
      <c r="G262" s="146">
        <f t="shared" ref="G262:G269" si="702">SUM(C262:F262)</f>
        <v>0</v>
      </c>
      <c r="H262" s="37">
        <v>-10.064</v>
      </c>
      <c r="I262" s="37">
        <v>-17.460999999999999</v>
      </c>
      <c r="J262" s="37">
        <v>-5.0620000000000047</v>
      </c>
      <c r="K262" s="37">
        <v>-5.0769999999999982</v>
      </c>
      <c r="L262" s="146">
        <f t="shared" ref="L262:L269" si="703">SUM(H262:K262)</f>
        <v>-37.664000000000001</v>
      </c>
      <c r="M262" s="165">
        <v>-5.1020000000000003</v>
      </c>
      <c r="N262" s="165">
        <v>-10.302</v>
      </c>
      <c r="O262" s="165">
        <v>-10.330000000000002</v>
      </c>
      <c r="P262" s="165">
        <v>-10.306999999999995</v>
      </c>
      <c r="Q262" s="146">
        <f t="shared" ref="Q262:Q269" si="704">SUM(M262:P262)</f>
        <v>-36.040999999999997</v>
      </c>
      <c r="R262" s="165">
        <v>-10.247</v>
      </c>
      <c r="S262" s="165">
        <v>-11.887</v>
      </c>
      <c r="T262" s="165">
        <v>-11.438000000000002</v>
      </c>
      <c r="U262" s="165">
        <v>-11.405999999999999</v>
      </c>
      <c r="V262" s="146">
        <f t="shared" ref="V262:V269" si="705">SUM(R262:U262)</f>
        <v>-44.978000000000002</v>
      </c>
      <c r="W262" s="165">
        <f>'Sheet (3)'!B29/1000</f>
        <v>-11.355</v>
      </c>
      <c r="X262" s="171">
        <f>-X164*X160</f>
        <v>-13.903133542246472</v>
      </c>
      <c r="Y262" s="171">
        <f t="shared" ref="Y262:AN262" si="706">-Y164*Y160</f>
        <v>-13.888259020411352</v>
      </c>
      <c r="Z262" s="171">
        <f t="shared" si="706"/>
        <v>-13.867934664085031</v>
      </c>
      <c r="AA262" s="166">
        <f t="shared" ref="AA262:AA269" si="707">SUM(W262:Z262)</f>
        <v>-53.01432722674285</v>
      </c>
      <c r="AB262" s="171">
        <f t="shared" si="706"/>
        <v>-15.908661571671992</v>
      </c>
      <c r="AC262" s="171">
        <f t="shared" si="706"/>
        <v>-15.879815335925198</v>
      </c>
      <c r="AD262" s="171">
        <f t="shared" si="706"/>
        <v>-15.849998802938645</v>
      </c>
      <c r="AE262" s="171">
        <f t="shared" si="706"/>
        <v>-15.819243154059</v>
      </c>
      <c r="AF262" s="166">
        <f t="shared" ref="AF262:AF269" si="708">SUM(AB262:AE262)</f>
        <v>-63.457718864594838</v>
      </c>
      <c r="AG262" s="171">
        <f t="shared" si="706"/>
        <v>-18.178716650167658</v>
      </c>
      <c r="AH262" s="171">
        <f t="shared" si="706"/>
        <v>-18.140880942466801</v>
      </c>
      <c r="AI262" s="171">
        <f t="shared" si="706"/>
        <v>-18.102610836871644</v>
      </c>
      <c r="AJ262" s="171">
        <f t="shared" si="706"/>
        <v>-18.063396942682015</v>
      </c>
      <c r="AK262" s="166">
        <f t="shared" ref="AK262:AK269" si="709">SUM(AG262:AJ262)</f>
        <v>-72.485605372188118</v>
      </c>
      <c r="AL262" s="166">
        <f t="shared" si="706"/>
        <v>-82.464597274509302</v>
      </c>
      <c r="AM262" s="166">
        <f t="shared" si="706"/>
        <v>-94.069108138394185</v>
      </c>
      <c r="AN262" s="166">
        <f t="shared" si="706"/>
        <v>-107.24373767853855</v>
      </c>
    </row>
    <row r="263" spans="1:40" ht="15" customHeight="1" x14ac:dyDescent="0.2">
      <c r="A263" s="202" t="s">
        <v>229</v>
      </c>
      <c r="G263" s="146">
        <f t="shared" si="702"/>
        <v>0</v>
      </c>
      <c r="H263" s="37">
        <v>7.58</v>
      </c>
      <c r="I263" s="37">
        <v>5.1460000000000008</v>
      </c>
      <c r="J263" s="37">
        <v>2.0639999999999983</v>
      </c>
      <c r="K263" s="37">
        <v>10.179000000000002</v>
      </c>
      <c r="L263" s="146">
        <f t="shared" si="703"/>
        <v>24.969000000000001</v>
      </c>
      <c r="M263" s="165">
        <v>10.855</v>
      </c>
      <c r="N263" s="165">
        <v>17.599</v>
      </c>
      <c r="O263" s="165">
        <v>3.7650000000000006</v>
      </c>
      <c r="P263" s="165">
        <v>2.4870000000000019</v>
      </c>
      <c r="Q263" s="146">
        <f t="shared" si="704"/>
        <v>34.706000000000003</v>
      </c>
      <c r="R263" s="165">
        <v>3.198</v>
      </c>
      <c r="S263" s="165">
        <v>16.201000000000001</v>
      </c>
      <c r="T263" s="165">
        <v>0.88400000000000034</v>
      </c>
      <c r="U263" s="165">
        <v>1.6139999999999972</v>
      </c>
      <c r="V263" s="146">
        <f t="shared" si="705"/>
        <v>21.896999999999998</v>
      </c>
      <c r="W263" s="165">
        <f>'Sheet (3)'!B30/1000</f>
        <v>1.1990000000000001</v>
      </c>
      <c r="X263" s="171">
        <f>W263</f>
        <v>1.1990000000000001</v>
      </c>
      <c r="Y263" s="171">
        <f t="shared" ref="Y263:AJ263" si="710">X263</f>
        <v>1.1990000000000001</v>
      </c>
      <c r="Z263" s="171">
        <f t="shared" si="710"/>
        <v>1.1990000000000001</v>
      </c>
      <c r="AA263" s="166">
        <f t="shared" si="707"/>
        <v>4.7960000000000003</v>
      </c>
      <c r="AB263" s="171">
        <f>Z263</f>
        <v>1.1990000000000001</v>
      </c>
      <c r="AC263" s="171">
        <f t="shared" si="710"/>
        <v>1.1990000000000001</v>
      </c>
      <c r="AD263" s="171">
        <f t="shared" si="710"/>
        <v>1.1990000000000001</v>
      </c>
      <c r="AE263" s="171">
        <f t="shared" si="710"/>
        <v>1.1990000000000001</v>
      </c>
      <c r="AF263" s="166">
        <f t="shared" si="708"/>
        <v>4.7960000000000003</v>
      </c>
      <c r="AG263" s="171">
        <f>AE263</f>
        <v>1.1990000000000001</v>
      </c>
      <c r="AH263" s="171">
        <f t="shared" si="710"/>
        <v>1.1990000000000001</v>
      </c>
      <c r="AI263" s="171">
        <f t="shared" si="710"/>
        <v>1.1990000000000001</v>
      </c>
      <c r="AJ263" s="171">
        <f t="shared" si="710"/>
        <v>1.1990000000000001</v>
      </c>
      <c r="AK263" s="166">
        <f t="shared" si="709"/>
        <v>4.7960000000000003</v>
      </c>
      <c r="AL263" s="166">
        <f>AK263</f>
        <v>4.7960000000000003</v>
      </c>
      <c r="AM263" s="166">
        <f t="shared" ref="AM263:AN263" si="711">AL263</f>
        <v>4.7960000000000003</v>
      </c>
      <c r="AN263" s="166">
        <f t="shared" si="711"/>
        <v>4.7960000000000003</v>
      </c>
    </row>
    <row r="264" spans="1:40" ht="15" customHeight="1" x14ac:dyDescent="0.2">
      <c r="A264" s="202" t="s">
        <v>230</v>
      </c>
      <c r="G264" s="146">
        <f t="shared" si="702"/>
        <v>0</v>
      </c>
      <c r="H264" s="37">
        <v>0</v>
      </c>
      <c r="I264" s="37">
        <v>-13.346</v>
      </c>
      <c r="J264" s="37">
        <v>0</v>
      </c>
      <c r="K264" s="37">
        <v>0</v>
      </c>
      <c r="L264" s="146">
        <f t="shared" si="703"/>
        <v>-13.346</v>
      </c>
      <c r="M264" s="165">
        <v>0</v>
      </c>
      <c r="N264" s="165">
        <v>0</v>
      </c>
      <c r="O264" s="165">
        <v>0</v>
      </c>
      <c r="P264" s="165">
        <v>-33.344000000000001</v>
      </c>
      <c r="Q264" s="146">
        <f t="shared" si="704"/>
        <v>-33.344000000000001</v>
      </c>
      <c r="R264" s="165">
        <v>-39.258000000000003</v>
      </c>
      <c r="S264" s="165">
        <v>-234.27700000000002</v>
      </c>
      <c r="T264" s="165">
        <v>-166.69800000000001</v>
      </c>
      <c r="U264" s="165">
        <v>-45.06699999999995</v>
      </c>
      <c r="V264" s="146">
        <f t="shared" si="705"/>
        <v>-485.3</v>
      </c>
      <c r="W264" s="165">
        <f>'Sheet (3)'!B31/1000</f>
        <v>-26.369</v>
      </c>
      <c r="X264" s="245">
        <f>-X286*X230</f>
        <v>-8.864968059665598</v>
      </c>
      <c r="Y264" s="245">
        <f>-Y286*Y230</f>
        <v>-11.39877430617635</v>
      </c>
      <c r="Z264" s="245">
        <f>-Z286*Z230</f>
        <v>-13.765096186023424</v>
      </c>
      <c r="AA264" s="166">
        <f t="shared" si="707"/>
        <v>-60.397838551865377</v>
      </c>
      <c r="AB264" s="245">
        <f>-AB286*AB230</f>
        <v>-14.858107683630257</v>
      </c>
      <c r="AC264" s="245">
        <f>-AC286*AC230</f>
        <v>-15.103498497814689</v>
      </c>
      <c r="AD264" s="245">
        <f>-AD286*AD230</f>
        <v>-16.615742234480265</v>
      </c>
      <c r="AE264" s="245">
        <f>-AE286*AE230</f>
        <v>-16.795188061905868</v>
      </c>
      <c r="AF264" s="166">
        <f t="shared" si="708"/>
        <v>-63.372536477831083</v>
      </c>
      <c r="AG264" s="245">
        <f>-AG286*AG230</f>
        <v>-17.30208895583425</v>
      </c>
      <c r="AH264" s="245">
        <f>-AH286*AH230</f>
        <v>-16.76755692612814</v>
      </c>
      <c r="AI264" s="245">
        <f>-AI286*AI230</f>
        <v>-18.036593452486841</v>
      </c>
      <c r="AJ264" s="245">
        <f>-AJ286*AJ230</f>
        <v>-18.167431423443603</v>
      </c>
      <c r="AK264" s="166">
        <f t="shared" si="709"/>
        <v>-70.27367075789283</v>
      </c>
      <c r="AL264" s="166">
        <f>-AL286*AL230</f>
        <v>-72.978219755536585</v>
      </c>
      <c r="AM264" s="166">
        <f>-AM286*AM230</f>
        <v>-75.953223652944729</v>
      </c>
      <c r="AN264" s="166">
        <f>-AN286*AN230</f>
        <v>-79.225727940093691</v>
      </c>
    </row>
    <row r="265" spans="1:40" ht="15" customHeight="1" x14ac:dyDescent="0.2">
      <c r="A265" s="202" t="s">
        <v>231</v>
      </c>
      <c r="G265" s="146">
        <f t="shared" si="702"/>
        <v>0</v>
      </c>
      <c r="H265" s="37">
        <v>19.693999999999981</v>
      </c>
      <c r="I265" s="37">
        <v>-40.010999999999967</v>
      </c>
      <c r="J265" s="37">
        <v>-144.84699999999989</v>
      </c>
      <c r="K265" s="37">
        <v>-99.037000000000205</v>
      </c>
      <c r="L265" s="146">
        <f t="shared" si="703"/>
        <v>-264.20100000000008</v>
      </c>
      <c r="M265" s="165">
        <v>-100.395</v>
      </c>
      <c r="N265" s="165">
        <v>-0.43999999999999773</v>
      </c>
      <c r="O265" s="165">
        <v>-0.37900000000000489</v>
      </c>
      <c r="P265" s="165">
        <v>-0.42499999999999716</v>
      </c>
      <c r="Q265" s="146">
        <f t="shared" si="704"/>
        <v>-101.639</v>
      </c>
      <c r="R265" s="165">
        <v>0</v>
      </c>
      <c r="S265" s="165">
        <v>0</v>
      </c>
      <c r="T265" s="165">
        <v>48.55599999999999</v>
      </c>
      <c r="U265" s="165">
        <v>18.243999999999964</v>
      </c>
      <c r="V265" s="146">
        <f t="shared" si="705"/>
        <v>66.799999999999955</v>
      </c>
      <c r="W265" s="165">
        <f>'Sheet (3)'!B32/1000</f>
        <v>413.7</v>
      </c>
      <c r="X265" s="245">
        <v>0</v>
      </c>
      <c r="Y265" s="245">
        <v>0</v>
      </c>
      <c r="Z265" s="245">
        <v>0</v>
      </c>
      <c r="AA265" s="166">
        <f t="shared" si="707"/>
        <v>413.7</v>
      </c>
      <c r="AB265" s="21"/>
      <c r="AC265" s="21"/>
      <c r="AD265" s="21"/>
      <c r="AE265" s="21"/>
      <c r="AF265" s="166">
        <f t="shared" si="708"/>
        <v>0</v>
      </c>
      <c r="AG265" s="21"/>
      <c r="AH265" s="21"/>
      <c r="AI265" s="21"/>
      <c r="AJ265" s="21"/>
      <c r="AK265" s="166">
        <f t="shared" si="709"/>
        <v>0</v>
      </c>
      <c r="AL265" s="166"/>
      <c r="AM265" s="166"/>
      <c r="AN265" s="166"/>
    </row>
    <row r="266" spans="1:40" ht="15" customHeight="1" x14ac:dyDescent="0.2">
      <c r="A266" s="202" t="s">
        <v>232</v>
      </c>
      <c r="G266" s="146">
        <f t="shared" si="702"/>
        <v>0</v>
      </c>
      <c r="H266" s="37"/>
      <c r="I266" s="37"/>
      <c r="J266" s="37"/>
      <c r="K266" s="37">
        <v>0</v>
      </c>
      <c r="L266" s="146">
        <f t="shared" si="703"/>
        <v>0</v>
      </c>
      <c r="M266" s="165"/>
      <c r="N266" s="165"/>
      <c r="O266" s="165">
        <v>0</v>
      </c>
      <c r="P266" s="165"/>
      <c r="Q266" s="146">
        <f t="shared" si="704"/>
        <v>0</v>
      </c>
      <c r="R266" s="165">
        <v>0</v>
      </c>
      <c r="S266" s="165">
        <v>0</v>
      </c>
      <c r="T266" s="165">
        <v>0</v>
      </c>
      <c r="U266" s="165">
        <v>0</v>
      </c>
      <c r="V266" s="146">
        <f t="shared" si="705"/>
        <v>0</v>
      </c>
      <c r="W266" s="165">
        <f>'Sheet (3)'!B33/1000</f>
        <v>-371.2</v>
      </c>
      <c r="X266" s="171">
        <v>0</v>
      </c>
      <c r="Y266" s="171">
        <v>0</v>
      </c>
      <c r="Z266" s="171">
        <v>0</v>
      </c>
      <c r="AA266" s="166">
        <f t="shared" si="707"/>
        <v>-371.2</v>
      </c>
      <c r="AB266" s="21"/>
      <c r="AC266" s="21"/>
      <c r="AD266" s="21"/>
      <c r="AE266" s="21"/>
      <c r="AF266" s="166">
        <f t="shared" si="708"/>
        <v>0</v>
      </c>
      <c r="AG266" s="21"/>
      <c r="AH266" s="21"/>
      <c r="AI266" s="21"/>
      <c r="AJ266" s="21"/>
      <c r="AK266" s="166">
        <f t="shared" si="709"/>
        <v>0</v>
      </c>
      <c r="AL266" s="166"/>
      <c r="AM266" s="166"/>
      <c r="AN266" s="166"/>
    </row>
    <row r="267" spans="1:40" ht="15" customHeight="1" x14ac:dyDescent="0.2">
      <c r="A267" s="203" t="s">
        <v>233</v>
      </c>
      <c r="G267" s="146">
        <f t="shared" si="702"/>
        <v>0</v>
      </c>
      <c r="H267" s="37"/>
      <c r="I267" s="37"/>
      <c r="J267" s="37"/>
      <c r="K267" s="37">
        <v>0</v>
      </c>
      <c r="L267" s="146">
        <f t="shared" si="703"/>
        <v>0</v>
      </c>
      <c r="M267" s="165"/>
      <c r="N267" s="165"/>
      <c r="O267" s="165"/>
      <c r="P267" s="165">
        <v>0</v>
      </c>
      <c r="Q267" s="146">
        <f t="shared" si="704"/>
        <v>0</v>
      </c>
      <c r="R267" s="165">
        <v>-0.38100000000000001</v>
      </c>
      <c r="S267" s="165">
        <v>-0.18299999999999994</v>
      </c>
      <c r="T267" s="165">
        <v>0.56399999999999995</v>
      </c>
      <c r="U267" s="165">
        <v>-0.79700000000000004</v>
      </c>
      <c r="V267" s="146">
        <f t="shared" si="705"/>
        <v>-0.79700000000000004</v>
      </c>
      <c r="W267" s="165">
        <f>'Sheet (3)'!B34/1000</f>
        <v>-9.8000000000000004E-2</v>
      </c>
      <c r="X267" s="165">
        <v>0</v>
      </c>
      <c r="Y267" s="165">
        <v>0</v>
      </c>
      <c r="Z267" s="165">
        <v>0</v>
      </c>
      <c r="AA267" s="166">
        <f t="shared" si="707"/>
        <v>-9.8000000000000004E-2</v>
      </c>
      <c r="AB267" s="21"/>
      <c r="AC267" s="21"/>
      <c r="AD267" s="21"/>
      <c r="AE267" s="21"/>
      <c r="AF267" s="166">
        <f t="shared" si="708"/>
        <v>0</v>
      </c>
      <c r="AG267" s="21"/>
      <c r="AH267" s="21"/>
      <c r="AI267" s="21"/>
      <c r="AJ267" s="21"/>
      <c r="AK267" s="166">
        <f t="shared" si="709"/>
        <v>0</v>
      </c>
      <c r="AL267" s="166"/>
      <c r="AM267" s="166"/>
      <c r="AN267" s="166"/>
    </row>
    <row r="268" spans="1:40" ht="15" customHeight="1" x14ac:dyDescent="0.2">
      <c r="A268" s="184" t="s">
        <v>234</v>
      </c>
      <c r="G268" s="168">
        <f t="shared" ref="G268" si="712">SUM(G262:G267)</f>
        <v>0</v>
      </c>
      <c r="H268" s="187">
        <f t="shared" ref="H268:Z268" si="713">SUM(H262:H267)</f>
        <v>17.20999999999998</v>
      </c>
      <c r="I268" s="187">
        <f t="shared" si="713"/>
        <v>-65.671999999999969</v>
      </c>
      <c r="J268" s="187">
        <f t="shared" si="713"/>
        <v>-147.84499999999991</v>
      </c>
      <c r="K268" s="187">
        <f t="shared" si="713"/>
        <v>-93.935000000000201</v>
      </c>
      <c r="L268" s="168">
        <f t="shared" si="713"/>
        <v>-290.24200000000008</v>
      </c>
      <c r="M268" s="187">
        <f t="shared" si="713"/>
        <v>-94.641999999999996</v>
      </c>
      <c r="N268" s="187">
        <f t="shared" si="713"/>
        <v>6.8570000000000029</v>
      </c>
      <c r="O268" s="187">
        <f t="shared" si="713"/>
        <v>-6.9440000000000062</v>
      </c>
      <c r="P268" s="187">
        <f t="shared" si="713"/>
        <v>-41.588999999999992</v>
      </c>
      <c r="Q268" s="168">
        <f t="shared" ref="Q268" si="714">SUM(Q262:Q267)</f>
        <v>-136.31799999999998</v>
      </c>
      <c r="R268" s="187">
        <f t="shared" si="713"/>
        <v>-46.688000000000002</v>
      </c>
      <c r="S268" s="187">
        <f t="shared" si="713"/>
        <v>-230.14600000000002</v>
      </c>
      <c r="T268" s="187">
        <f t="shared" si="713"/>
        <v>-128.13200000000003</v>
      </c>
      <c r="U268" s="187">
        <f t="shared" si="713"/>
        <v>-37.411999999999985</v>
      </c>
      <c r="V268" s="168">
        <f t="shared" si="713"/>
        <v>-442.3780000000001</v>
      </c>
      <c r="W268" s="187">
        <f t="shared" si="713"/>
        <v>5.8770000000000229</v>
      </c>
      <c r="X268" s="187">
        <f t="shared" si="713"/>
        <v>-21.56910160191207</v>
      </c>
      <c r="Y268" s="187">
        <f t="shared" si="713"/>
        <v>-24.088033326587702</v>
      </c>
      <c r="Z268" s="187">
        <f t="shared" si="713"/>
        <v>-26.434030850108456</v>
      </c>
      <c r="AA268" s="168">
        <f t="shared" ref="AA268" si="715">SUM(AA262:AA267)</f>
        <v>-66.214165778608262</v>
      </c>
      <c r="AB268" s="187">
        <f t="shared" ref="AB268:AL268" si="716">SUM(AB262:AB267)</f>
        <v>-29.567769255302249</v>
      </c>
      <c r="AC268" s="187">
        <f t="shared" si="716"/>
        <v>-29.784313833739887</v>
      </c>
      <c r="AD268" s="187">
        <f t="shared" si="716"/>
        <v>-31.26674103741891</v>
      </c>
      <c r="AE268" s="187">
        <f t="shared" si="716"/>
        <v>-31.415431215964869</v>
      </c>
      <c r="AF268" s="168">
        <f t="shared" si="716"/>
        <v>-122.03425534242592</v>
      </c>
      <c r="AG268" s="187">
        <f t="shared" si="716"/>
        <v>-34.28180560600191</v>
      </c>
      <c r="AH268" s="187">
        <f t="shared" si="716"/>
        <v>-33.709437868594939</v>
      </c>
      <c r="AI268" s="187">
        <f t="shared" si="716"/>
        <v>-34.940204289358483</v>
      </c>
      <c r="AJ268" s="187">
        <f t="shared" si="716"/>
        <v>-35.031828366125616</v>
      </c>
      <c r="AK268" s="168">
        <f t="shared" ref="AK268" si="717">SUM(AK262:AK267)</f>
        <v>-137.96327613008094</v>
      </c>
      <c r="AL268" s="168">
        <f t="shared" si="716"/>
        <v>-150.6468170300459</v>
      </c>
      <c r="AM268" s="168">
        <f t="shared" ref="AM268:AN268" si="718">SUM(AM262:AM267)</f>
        <v>-165.22633179133891</v>
      </c>
      <c r="AN268" s="168">
        <f t="shared" si="718"/>
        <v>-181.67346561863224</v>
      </c>
    </row>
    <row r="269" spans="1:40" ht="15" customHeight="1" x14ac:dyDescent="0.2">
      <c r="A269" s="191" t="s">
        <v>235</v>
      </c>
      <c r="G269" s="146">
        <f t="shared" si="702"/>
        <v>0</v>
      </c>
      <c r="H269" s="37">
        <v>2.7269999999999999</v>
      </c>
      <c r="I269" s="37">
        <v>-4.7989999999999995</v>
      </c>
      <c r="J269" s="37">
        <v>-1.5530000000000004</v>
      </c>
      <c r="K269" s="37">
        <v>5.4530000000000003</v>
      </c>
      <c r="L269" s="146">
        <f t="shared" si="703"/>
        <v>1.8280000000000003</v>
      </c>
      <c r="M269" s="165">
        <v>6.4829999999999997</v>
      </c>
      <c r="N269" s="165">
        <v>-4.230599999999999</v>
      </c>
      <c r="O269" s="165">
        <v>2.2645999999999988</v>
      </c>
      <c r="P269" s="165">
        <v>-2.3789999999999996</v>
      </c>
      <c r="Q269" s="146">
        <f t="shared" si="704"/>
        <v>2.1379999999999999</v>
      </c>
      <c r="R269" s="165">
        <v>-0.96699999999999997</v>
      </c>
      <c r="S269" s="165">
        <v>0.43399999999999994</v>
      </c>
      <c r="T269" s="165">
        <v>0.13700000000000001</v>
      </c>
      <c r="U269" s="165">
        <v>-26.032999999999998</v>
      </c>
      <c r="V269" s="146">
        <f t="shared" si="705"/>
        <v>-26.428999999999998</v>
      </c>
      <c r="W269" s="165">
        <f>'Sheet (3)'!B36/1000</f>
        <v>3.6869999999999998</v>
      </c>
      <c r="X269" s="165"/>
      <c r="Y269" s="165"/>
      <c r="Z269" s="165"/>
      <c r="AA269" s="166">
        <f t="shared" si="707"/>
        <v>3.6869999999999998</v>
      </c>
      <c r="AB269" s="165"/>
      <c r="AC269" s="165"/>
      <c r="AD269" s="165"/>
      <c r="AE269" s="165"/>
      <c r="AF269" s="166">
        <f t="shared" si="708"/>
        <v>0</v>
      </c>
      <c r="AG269" s="165"/>
      <c r="AH269" s="165"/>
      <c r="AI269" s="165"/>
      <c r="AJ269" s="165"/>
      <c r="AK269" s="166">
        <f t="shared" si="709"/>
        <v>0</v>
      </c>
      <c r="AL269" s="166"/>
      <c r="AM269" s="166"/>
      <c r="AN269" s="166"/>
    </row>
    <row r="270" spans="1:40" ht="15" customHeight="1" x14ac:dyDescent="0.2">
      <c r="A270" s="192" t="s">
        <v>236</v>
      </c>
      <c r="G270" s="168">
        <f t="shared" ref="G270" si="719">G268+G269+G259+G251</f>
        <v>0</v>
      </c>
      <c r="H270" s="167">
        <f t="shared" ref="H270:P270" si="720">H268+H269+H259+H251</f>
        <v>48.957000000000008</v>
      </c>
      <c r="I270" s="167">
        <f t="shared" si="720"/>
        <v>-45.180999999999983</v>
      </c>
      <c r="J270" s="167">
        <f t="shared" si="720"/>
        <v>-1.5263999999998816</v>
      </c>
      <c r="K270" s="167">
        <f t="shared" si="720"/>
        <v>51.94739999999976</v>
      </c>
      <c r="L270" s="168">
        <f t="shared" si="720"/>
        <v>54.196999999999832</v>
      </c>
      <c r="M270" s="167">
        <f t="shared" si="720"/>
        <v>48.611000000000004</v>
      </c>
      <c r="N270" s="167">
        <f t="shared" si="720"/>
        <v>85.442399999999992</v>
      </c>
      <c r="O270" s="167">
        <f t="shared" si="720"/>
        <v>74.683600000000027</v>
      </c>
      <c r="P270" s="167">
        <f t="shared" si="720"/>
        <v>108.63699999999997</v>
      </c>
      <c r="Q270" s="168">
        <f t="shared" ref="Q270" si="721">Q268+Q269+Q259+Q251</f>
        <v>295.19200000000006</v>
      </c>
      <c r="R270" s="167">
        <f t="shared" ref="R270:Z270" si="722">R251+R259+R268+R269</f>
        <v>-21.480000000000011</v>
      </c>
      <c r="S270" s="167">
        <f t="shared" si="722"/>
        <v>-218.62700000000001</v>
      </c>
      <c r="T270" s="167">
        <f t="shared" si="722"/>
        <v>-108.65400000000005</v>
      </c>
      <c r="U270" s="167">
        <f t="shared" si="722"/>
        <v>8.1430000000000113</v>
      </c>
      <c r="V270" s="168">
        <f t="shared" ref="V270" si="723">V268+V269+V259+V251</f>
        <v>-340.61800000000005</v>
      </c>
      <c r="W270" s="167">
        <f t="shared" si="722"/>
        <v>-8.5089999999999737</v>
      </c>
      <c r="X270" s="167">
        <f t="shared" si="722"/>
        <v>-14.64006964505662</v>
      </c>
      <c r="Y270" s="167">
        <f t="shared" si="722"/>
        <v>-0.74347840936870924</v>
      </c>
      <c r="Z270" s="167">
        <f t="shared" si="722"/>
        <v>21.74081009500874</v>
      </c>
      <c r="AA270" s="168">
        <f t="shared" ref="AA270" si="724">AA268+AA269+AA259+AA251</f>
        <v>-2.1517379594165789</v>
      </c>
      <c r="AB270" s="167">
        <f t="shared" ref="AB270:AL270" si="725">AB251+AB259+AB268+AB269</f>
        <v>41.064728887006495</v>
      </c>
      <c r="AC270" s="167">
        <f t="shared" si="725"/>
        <v>37.613973817290073</v>
      </c>
      <c r="AD270" s="167">
        <f t="shared" si="725"/>
        <v>-12.352115213420323</v>
      </c>
      <c r="AE270" s="167">
        <f t="shared" si="725"/>
        <v>48.829649762451893</v>
      </c>
      <c r="AF270" s="168">
        <f t="shared" ref="AF270" si="726">AF268+AF269+AF259+AF251</f>
        <v>115.15623725332819</v>
      </c>
      <c r="AG270" s="167">
        <f t="shared" si="725"/>
        <v>29.948731929786035</v>
      </c>
      <c r="AH270" s="167">
        <f t="shared" si="725"/>
        <v>39.985253169341398</v>
      </c>
      <c r="AI270" s="167">
        <f t="shared" si="725"/>
        <v>2.6319189453180414</v>
      </c>
      <c r="AJ270" s="167">
        <f t="shared" si="725"/>
        <v>53.967799164763484</v>
      </c>
      <c r="AK270" s="168">
        <f t="shared" ref="AK270" si="727">AK268+AK269+AK259+AK251</f>
        <v>126.53370320920891</v>
      </c>
      <c r="AL270" s="168">
        <f t="shared" si="725"/>
        <v>155.16103235705299</v>
      </c>
      <c r="AM270" s="168">
        <f t="shared" ref="AM270:AN270" si="728">AM251+AM259+AM268+AM269</f>
        <v>150.20963932438798</v>
      </c>
      <c r="AN270" s="168">
        <f t="shared" si="728"/>
        <v>144.35343939858501</v>
      </c>
    </row>
    <row r="271" spans="1:40" ht="15" customHeight="1" x14ac:dyDescent="0.2">
      <c r="A271" s="193"/>
      <c r="G271" s="195"/>
      <c r="H271" s="194"/>
      <c r="I271" s="194"/>
      <c r="J271" s="194"/>
      <c r="K271" s="194"/>
      <c r="L271" s="195"/>
      <c r="M271" s="194"/>
      <c r="N271" s="194"/>
      <c r="O271" s="194"/>
      <c r="P271" s="194"/>
      <c r="Q271" s="195"/>
      <c r="R271" s="194"/>
      <c r="S271" s="196"/>
      <c r="T271" s="196"/>
      <c r="U271" s="196"/>
      <c r="V271" s="195"/>
      <c r="W271" s="196"/>
      <c r="X271" s="196"/>
      <c r="Y271" s="196"/>
      <c r="Z271" s="196"/>
      <c r="AA271" s="195"/>
      <c r="AB271" s="196"/>
      <c r="AC271" s="196"/>
      <c r="AD271" s="196"/>
      <c r="AE271" s="196"/>
      <c r="AF271" s="195"/>
      <c r="AG271" s="196"/>
      <c r="AH271" s="196"/>
      <c r="AI271" s="196"/>
      <c r="AJ271" s="196"/>
      <c r="AK271" s="195"/>
      <c r="AL271" s="195"/>
      <c r="AM271" s="195"/>
      <c r="AN271" s="195"/>
    </row>
    <row r="272" spans="1:40" ht="15" customHeight="1" x14ac:dyDescent="0.2">
      <c r="A272" s="1" t="s">
        <v>603</v>
      </c>
      <c r="G272" s="166"/>
      <c r="H272" s="171"/>
      <c r="I272" s="171"/>
      <c r="J272" s="171"/>
      <c r="K272" s="171"/>
      <c r="L272" s="166"/>
      <c r="M272" s="171"/>
      <c r="N272" s="171"/>
      <c r="O272" s="171"/>
      <c r="P272" s="171"/>
      <c r="Q272" s="166"/>
      <c r="R272" s="171"/>
      <c r="S272" s="28"/>
      <c r="T272" s="28"/>
      <c r="U272" s="28"/>
      <c r="V272" s="166"/>
      <c r="W272" s="28"/>
      <c r="X272" s="28"/>
      <c r="Y272" s="28"/>
      <c r="Z272" s="28"/>
      <c r="AA272" s="166"/>
      <c r="AF272" s="166"/>
      <c r="AK272" s="166"/>
      <c r="AL272" s="166"/>
      <c r="AM272" s="166"/>
      <c r="AN272" s="166"/>
    </row>
    <row r="273" spans="1:40" ht="15" customHeight="1" x14ac:dyDescent="0.2">
      <c r="A273" s="121" t="s">
        <v>156</v>
      </c>
      <c r="G273" s="197">
        <f t="shared" ref="G273" si="729">-G254/G$120</f>
        <v>0</v>
      </c>
      <c r="H273" s="27">
        <f t="shared" ref="H273:W273" si="730">-H254/H$120</f>
        <v>2.3921538685786867E-2</v>
      </c>
      <c r="I273" s="27">
        <f t="shared" si="730"/>
        <v>1.6840687567687654E-2</v>
      </c>
      <c r="J273" s="27">
        <f t="shared" si="730"/>
        <v>1.8538598694986506E-2</v>
      </c>
      <c r="K273" s="27">
        <f t="shared" si="730"/>
        <v>1.508666124563306E-2</v>
      </c>
      <c r="L273" s="197">
        <f t="shared" si="730"/>
        <v>1.8867516273217762E-2</v>
      </c>
      <c r="M273" s="27">
        <f t="shared" si="730"/>
        <v>1.3509567184195497E-2</v>
      </c>
      <c r="N273" s="27">
        <f t="shared" si="730"/>
        <v>1.0407330889474146E-2</v>
      </c>
      <c r="O273" s="27">
        <f t="shared" si="730"/>
        <v>1.4432119279651502E-2</v>
      </c>
      <c r="P273" s="27">
        <f t="shared" si="730"/>
        <v>2.8659264806205356E-2</v>
      </c>
      <c r="Q273" s="197">
        <f t="shared" ref="Q273" si="731">-Q254/Q$120</f>
        <v>1.6781753933508829E-2</v>
      </c>
      <c r="R273" s="27">
        <f t="shared" si="730"/>
        <v>2.4230685431307308E-2</v>
      </c>
      <c r="S273" s="27">
        <f t="shared" si="730"/>
        <v>1.8790503017011479E-2</v>
      </c>
      <c r="T273" s="27">
        <f t="shared" si="730"/>
        <v>2.1087945931515858E-2</v>
      </c>
      <c r="U273" s="27">
        <f t="shared" si="730"/>
        <v>2.462841759721765E-2</v>
      </c>
      <c r="V273" s="197">
        <f t="shared" si="730"/>
        <v>2.218743573709811E-2</v>
      </c>
      <c r="W273" s="27">
        <f t="shared" si="730"/>
        <v>3.9426529091411679E-2</v>
      </c>
      <c r="X273" s="242">
        <v>3.9E-2</v>
      </c>
      <c r="Y273" s="242">
        <f t="shared" ref="Y273:AJ273" si="732">X273</f>
        <v>3.9E-2</v>
      </c>
      <c r="Z273" s="242">
        <f t="shared" si="732"/>
        <v>3.9E-2</v>
      </c>
      <c r="AA273" s="197">
        <f t="shared" ref="AA273" si="733">-AA254/AA$120</f>
        <v>3.9098516003080792E-2</v>
      </c>
      <c r="AB273" s="242">
        <f>Z273</f>
        <v>3.9E-2</v>
      </c>
      <c r="AC273" s="242">
        <f t="shared" si="732"/>
        <v>3.9E-2</v>
      </c>
      <c r="AD273" s="242">
        <f t="shared" si="732"/>
        <v>3.9E-2</v>
      </c>
      <c r="AE273" s="241">
        <f t="shared" si="732"/>
        <v>3.9E-2</v>
      </c>
      <c r="AF273" s="197">
        <f t="shared" ref="AF273" si="734">-AF254/AF$120</f>
        <v>3.9E-2</v>
      </c>
      <c r="AG273" s="241">
        <f>AE273</f>
        <v>3.9E-2</v>
      </c>
      <c r="AH273" s="241">
        <f t="shared" si="732"/>
        <v>3.9E-2</v>
      </c>
      <c r="AI273" s="241">
        <f t="shared" si="732"/>
        <v>3.9E-2</v>
      </c>
      <c r="AJ273" s="241">
        <f t="shared" si="732"/>
        <v>3.9E-2</v>
      </c>
      <c r="AK273" s="197">
        <f t="shared" ref="AK273" si="735">-AK254/AK$120</f>
        <v>3.9E-2</v>
      </c>
      <c r="AL273" s="197">
        <f>AJ273</f>
        <v>3.9E-2</v>
      </c>
      <c r="AM273" s="197">
        <f>AL273</f>
        <v>3.9E-2</v>
      </c>
      <c r="AN273" s="197">
        <f>AM273</f>
        <v>3.9E-2</v>
      </c>
    </row>
    <row r="274" spans="1:40" ht="15" customHeight="1" x14ac:dyDescent="0.2">
      <c r="A274" s="121" t="s">
        <v>170</v>
      </c>
      <c r="G274" s="197" t="e">
        <f t="shared" ref="G274" si="736">G233/-G254</f>
        <v>#DIV/0!</v>
      </c>
      <c r="H274" s="27">
        <f>H233/-H254</f>
        <v>1.883182451253482</v>
      </c>
      <c r="I274" s="27">
        <f t="shared" ref="I274:W274" si="737">I233/-I254</f>
        <v>2.7228130925880119</v>
      </c>
      <c r="J274" s="27">
        <f t="shared" si="737"/>
        <v>3.30614766759345</v>
      </c>
      <c r="K274" s="27">
        <f t="shared" si="737"/>
        <v>4.1891453524641289</v>
      </c>
      <c r="L274" s="197">
        <f t="shared" si="737"/>
        <v>2.7854397179688655</v>
      </c>
      <c r="M274" s="27">
        <f t="shared" si="737"/>
        <v>4.554178714030015</v>
      </c>
      <c r="N274" s="27">
        <f t="shared" si="737"/>
        <v>5.3684297520661151</v>
      </c>
      <c r="O274" s="27">
        <f t="shared" si="737"/>
        <v>4.0133183968135429</v>
      </c>
      <c r="P274" s="27">
        <f t="shared" si="737"/>
        <v>1.9413168522824622</v>
      </c>
      <c r="Q274" s="197">
        <f t="shared" ref="Q274" si="738">Q233/-Q254</f>
        <v>3.4366526042081245</v>
      </c>
      <c r="R274" s="27">
        <f t="shared" si="737"/>
        <v>2.3410043435190127</v>
      </c>
      <c r="S274" s="27">
        <f t="shared" si="737"/>
        <v>2.7759136664550654</v>
      </c>
      <c r="T274" s="27">
        <f t="shared" si="737"/>
        <v>2.3100733307603232</v>
      </c>
      <c r="U274" s="27">
        <f t="shared" si="737"/>
        <v>1.8632240055826934</v>
      </c>
      <c r="V274" s="197">
        <f t="shared" si="737"/>
        <v>2.2816826813951727</v>
      </c>
      <c r="W274" s="27">
        <f t="shared" si="737"/>
        <v>1.2014760147601475</v>
      </c>
      <c r="X274" s="242">
        <v>1.2</v>
      </c>
      <c r="Y274" s="242">
        <f t="shared" ref="Y274:AJ274" si="739">X274</f>
        <v>1.2</v>
      </c>
      <c r="Z274" s="242">
        <f t="shared" si="739"/>
        <v>1.2</v>
      </c>
      <c r="AA274" s="197">
        <f t="shared" ref="AA274" si="740">AA233/-AA254</f>
        <v>1.2003468092849816</v>
      </c>
      <c r="AB274" s="242">
        <f>Z274</f>
        <v>1.2</v>
      </c>
      <c r="AC274" s="242">
        <f t="shared" si="739"/>
        <v>1.2</v>
      </c>
      <c r="AD274" s="242">
        <f t="shared" si="739"/>
        <v>1.2</v>
      </c>
      <c r="AE274" s="241">
        <f t="shared" si="739"/>
        <v>1.2</v>
      </c>
      <c r="AF274" s="197">
        <f t="shared" ref="AF274" si="741">AF233/-AF254</f>
        <v>1.1999999999999997</v>
      </c>
      <c r="AG274" s="241">
        <f>AE274</f>
        <v>1.2</v>
      </c>
      <c r="AH274" s="241">
        <f t="shared" si="739"/>
        <v>1.2</v>
      </c>
      <c r="AI274" s="241">
        <f t="shared" si="739"/>
        <v>1.2</v>
      </c>
      <c r="AJ274" s="241">
        <f t="shared" si="739"/>
        <v>1.2</v>
      </c>
      <c r="AK274" s="197">
        <f t="shared" ref="AK274" si="742">AK233/-AK254</f>
        <v>1.2000000000000002</v>
      </c>
      <c r="AL274" s="197">
        <f>AJ274</f>
        <v>1.2</v>
      </c>
      <c r="AM274" s="197">
        <f>AL274</f>
        <v>1.2</v>
      </c>
      <c r="AN274" s="197">
        <f>AM274</f>
        <v>1.2</v>
      </c>
    </row>
    <row r="275" spans="1:40" ht="15" customHeight="1" x14ac:dyDescent="0.2">
      <c r="G275" s="197"/>
      <c r="H275" s="27"/>
      <c r="I275" s="27"/>
      <c r="J275" s="27"/>
      <c r="K275" s="27"/>
      <c r="L275" s="197"/>
      <c r="M275" s="27"/>
      <c r="N275" s="27"/>
      <c r="O275" s="27"/>
      <c r="P275" s="27"/>
      <c r="Q275" s="197"/>
      <c r="R275" s="27"/>
      <c r="S275" s="27"/>
      <c r="T275" s="27"/>
      <c r="U275" s="27"/>
      <c r="V275" s="197"/>
      <c r="W275" s="27"/>
      <c r="X275" s="243"/>
      <c r="Y275" s="243"/>
      <c r="Z275" s="243"/>
      <c r="AA275" s="197"/>
      <c r="AB275" s="243"/>
      <c r="AC275" s="243"/>
      <c r="AD275" s="243"/>
      <c r="AE275" s="25"/>
      <c r="AF275" s="197"/>
      <c r="AG275" s="25"/>
      <c r="AH275" s="25"/>
      <c r="AI275" s="25"/>
      <c r="AJ275" s="25"/>
      <c r="AK275" s="197"/>
      <c r="AL275" s="197"/>
      <c r="AM275" s="197"/>
      <c r="AN275" s="197"/>
    </row>
    <row r="276" spans="1:40" ht="15" customHeight="1" x14ac:dyDescent="0.2">
      <c r="A276" s="121" t="s">
        <v>344</v>
      </c>
      <c r="G276" s="146">
        <f>SUM(C276:F276)</f>
        <v>0</v>
      </c>
      <c r="H276" s="37">
        <v>22.545999999999999</v>
      </c>
      <c r="I276" s="37">
        <v>23.177</v>
      </c>
      <c r="J276" s="37">
        <v>22.378</v>
      </c>
      <c r="K276" s="37">
        <v>23.599</v>
      </c>
      <c r="L276" s="146">
        <f>SUM(H276:K276)</f>
        <v>91.7</v>
      </c>
      <c r="M276" s="37">
        <v>22.608000000000001</v>
      </c>
      <c r="N276" s="37">
        <v>21.919</v>
      </c>
      <c r="O276" s="37">
        <v>21.716999999999999</v>
      </c>
      <c r="P276" s="37">
        <v>21.387</v>
      </c>
      <c r="Q276" s="146">
        <f>SUM(M276:P276)</f>
        <v>87.631</v>
      </c>
      <c r="R276" s="37">
        <v>21.033000000000001</v>
      </c>
      <c r="S276" s="37">
        <v>21.023</v>
      </c>
      <c r="T276" s="37">
        <v>20.617999999999999</v>
      </c>
      <c r="U276" s="37">
        <v>20.344999999999999</v>
      </c>
      <c r="V276" s="146">
        <f>SUM(R276:U276)</f>
        <v>83.018999999999991</v>
      </c>
      <c r="W276" s="37">
        <v>20.126000000000001</v>
      </c>
      <c r="X276" s="37">
        <f>X278*X$233</f>
        <v>21.334257535499997</v>
      </c>
      <c r="Y276" s="37">
        <f t="shared" ref="Y276:AL277" si="743">Y278*Y$233</f>
        <v>22.3569428355</v>
      </c>
      <c r="Z276" s="37">
        <f t="shared" si="743"/>
        <v>23.016096967499998</v>
      </c>
      <c r="AA276" s="146">
        <f>SUM(W276:Z276)</f>
        <v>86.833297338499989</v>
      </c>
      <c r="AB276" s="37">
        <f t="shared" si="743"/>
        <v>23.155994231369995</v>
      </c>
      <c r="AC276" s="37">
        <f t="shared" si="743"/>
        <v>22.884627361049997</v>
      </c>
      <c r="AD276" s="37">
        <f t="shared" si="743"/>
        <v>24.271664958449996</v>
      </c>
      <c r="AE276" s="37">
        <f t="shared" si="743"/>
        <v>24.467422502249995</v>
      </c>
      <c r="AF276" s="146">
        <f>SUM(AB276:AE276)</f>
        <v>94.779709053120001</v>
      </c>
      <c r="AG276" s="37">
        <f t="shared" si="743"/>
        <v>25.020400943537997</v>
      </c>
      <c r="AH276" s="37">
        <f t="shared" si="743"/>
        <v>24.437279682269995</v>
      </c>
      <c r="AI276" s="37">
        <f t="shared" si="743"/>
        <v>25.82167227003</v>
      </c>
      <c r="AJ276" s="37">
        <f t="shared" si="743"/>
        <v>25.964403478650002</v>
      </c>
      <c r="AK276" s="146">
        <f>SUM(AG276:AJ276)</f>
        <v>101.243756374488</v>
      </c>
      <c r="AL276" s="146">
        <f t="shared" si="743"/>
        <v>104.19415024243681</v>
      </c>
      <c r="AM276" s="146">
        <f t="shared" ref="AM276:AN276" si="744">AM278*AM$233</f>
        <v>107.43958349718049</v>
      </c>
      <c r="AN276" s="146">
        <f t="shared" si="744"/>
        <v>111.00956007739852</v>
      </c>
    </row>
    <row r="277" spans="1:40" ht="15" customHeight="1" x14ac:dyDescent="0.2">
      <c r="A277" s="121" t="s">
        <v>345</v>
      </c>
      <c r="G277" s="146">
        <f>SUM(C277:F277)</f>
        <v>0</v>
      </c>
      <c r="H277" s="37">
        <v>9.9049999999999994</v>
      </c>
      <c r="I277" s="37">
        <v>9.8480000000000008</v>
      </c>
      <c r="J277" s="37">
        <v>9.7279999999999998</v>
      </c>
      <c r="K277" s="37">
        <v>9.9770000000000003</v>
      </c>
      <c r="L277" s="146">
        <f>SUM(H277:K277)</f>
        <v>39.457999999999998</v>
      </c>
      <c r="M277" s="37">
        <v>10.468999999999999</v>
      </c>
      <c r="N277" s="37">
        <v>10.56</v>
      </c>
      <c r="O277" s="37">
        <v>10.526</v>
      </c>
      <c r="P277" s="37">
        <v>10.337999999999999</v>
      </c>
      <c r="Q277" s="146">
        <f>SUM(M277:P277)</f>
        <v>41.893000000000001</v>
      </c>
      <c r="R277" s="37">
        <v>9.6880000000000006</v>
      </c>
      <c r="S277" s="37">
        <v>9.5869999999999997</v>
      </c>
      <c r="T277" s="37">
        <v>9.3089999999999993</v>
      </c>
      <c r="U277" s="37">
        <v>9.0250000000000004</v>
      </c>
      <c r="V277" s="146">
        <f>SUM(R277:U277)</f>
        <v>37.608999999999995</v>
      </c>
      <c r="W277" s="37">
        <v>9.1780000000000008</v>
      </c>
      <c r="X277" s="37">
        <f>X279*X$233</f>
        <v>9.1432532294999991</v>
      </c>
      <c r="Y277" s="37">
        <f t="shared" si="743"/>
        <v>9.5815469295</v>
      </c>
      <c r="Z277" s="37">
        <f t="shared" si="743"/>
        <v>9.8640415575000002</v>
      </c>
      <c r="AA277" s="146">
        <f>SUM(W277:Z277)</f>
        <v>37.766841716500004</v>
      </c>
      <c r="AB277" s="37">
        <f t="shared" si="743"/>
        <v>9.9239975277299983</v>
      </c>
      <c r="AC277" s="37">
        <f t="shared" si="743"/>
        <v>9.8076974404499992</v>
      </c>
      <c r="AD277" s="37">
        <f t="shared" si="743"/>
        <v>10.402142125049998</v>
      </c>
      <c r="AE277" s="37">
        <f t="shared" si="743"/>
        <v>10.486038215249998</v>
      </c>
      <c r="AF277" s="146">
        <f>SUM(AB277:AE277)</f>
        <v>40.61987530847999</v>
      </c>
      <c r="AG277" s="37">
        <f t="shared" si="743"/>
        <v>10.723028975801999</v>
      </c>
      <c r="AH277" s="37">
        <f t="shared" si="743"/>
        <v>10.473119863829998</v>
      </c>
      <c r="AI277" s="37">
        <f t="shared" si="743"/>
        <v>11.06643097287</v>
      </c>
      <c r="AJ277" s="37">
        <f t="shared" si="743"/>
        <v>11.127601490850001</v>
      </c>
      <c r="AK277" s="146">
        <f>SUM(AG277:AJ277)</f>
        <v>43.390181303351994</v>
      </c>
      <c r="AL277" s="146">
        <f t="shared" si="743"/>
        <v>44.654635818187202</v>
      </c>
      <c r="AM277" s="146">
        <f t="shared" ref="AM277:AN277" si="745">AM279*AM$233</f>
        <v>46.045535784505908</v>
      </c>
      <c r="AN277" s="146">
        <f t="shared" si="745"/>
        <v>47.57552574745651</v>
      </c>
    </row>
    <row r="278" spans="1:40" ht="15" customHeight="1" x14ac:dyDescent="0.2">
      <c r="A278" s="121" t="s">
        <v>446</v>
      </c>
      <c r="G278" s="147" t="e">
        <f t="shared" ref="G278:W278" si="746">G276/SUM(G276:G277)</f>
        <v>#DIV/0!</v>
      </c>
      <c r="H278" s="32">
        <f t="shared" si="746"/>
        <v>0.69477057717789892</v>
      </c>
      <c r="I278" s="32">
        <f t="shared" si="746"/>
        <v>0.70180166540499622</v>
      </c>
      <c r="J278" s="32">
        <f t="shared" si="746"/>
        <v>0.69700367532548435</v>
      </c>
      <c r="K278" s="32">
        <f t="shared" si="746"/>
        <v>0.70285322849654519</v>
      </c>
      <c r="L278" s="147">
        <f t="shared" si="746"/>
        <v>0.69915674224980551</v>
      </c>
      <c r="M278" s="32">
        <f t="shared" si="746"/>
        <v>0.68349608489282587</v>
      </c>
      <c r="N278" s="32">
        <f t="shared" si="746"/>
        <v>0.67486683703315997</v>
      </c>
      <c r="O278" s="32">
        <f t="shared" si="746"/>
        <v>0.67354154390100185</v>
      </c>
      <c r="P278" s="32">
        <f t="shared" si="746"/>
        <v>0.67413711583924352</v>
      </c>
      <c r="Q278" s="147">
        <f t="shared" si="746"/>
        <v>0.6765618727031284</v>
      </c>
      <c r="R278" s="32">
        <f t="shared" si="746"/>
        <v>0.68464568210670218</v>
      </c>
      <c r="S278" s="32">
        <f t="shared" si="746"/>
        <v>0.68680169879124464</v>
      </c>
      <c r="T278" s="32">
        <f t="shared" si="746"/>
        <v>0.68894309486416949</v>
      </c>
      <c r="U278" s="32">
        <f t="shared" si="746"/>
        <v>0.69271365338781077</v>
      </c>
      <c r="V278" s="147">
        <f t="shared" si="746"/>
        <v>0.68822329807341576</v>
      </c>
      <c r="W278" s="32">
        <f t="shared" si="746"/>
        <v>0.68680043680043679</v>
      </c>
      <c r="X278" s="49">
        <v>0.7</v>
      </c>
      <c r="Y278" s="49">
        <f t="shared" ref="Y278:AJ278" si="747">X278</f>
        <v>0.7</v>
      </c>
      <c r="Z278" s="49">
        <f t="shared" si="747"/>
        <v>0.7</v>
      </c>
      <c r="AA278" s="147">
        <f t="shared" ref="AA278" si="748">AA276/SUM(AA276:AA277)</f>
        <v>0.69689566959608873</v>
      </c>
      <c r="AB278" s="49">
        <f>Z278</f>
        <v>0.7</v>
      </c>
      <c r="AC278" s="49">
        <f t="shared" si="747"/>
        <v>0.7</v>
      </c>
      <c r="AD278" s="49">
        <f t="shared" si="747"/>
        <v>0.7</v>
      </c>
      <c r="AE278" s="49">
        <f t="shared" si="747"/>
        <v>0.7</v>
      </c>
      <c r="AF278" s="147">
        <f t="shared" ref="AF278" si="749">AF276/SUM(AF276:AF277)</f>
        <v>0.70000000000000018</v>
      </c>
      <c r="AG278" s="49">
        <f>AE278</f>
        <v>0.7</v>
      </c>
      <c r="AH278" s="49">
        <f t="shared" si="747"/>
        <v>0.7</v>
      </c>
      <c r="AI278" s="49">
        <f t="shared" si="747"/>
        <v>0.7</v>
      </c>
      <c r="AJ278" s="49">
        <f t="shared" si="747"/>
        <v>0.7</v>
      </c>
      <c r="AK278" s="147">
        <f t="shared" ref="AK278" si="750">AK276/SUM(AK276:AK277)</f>
        <v>0.70000000000000007</v>
      </c>
      <c r="AL278" s="147">
        <f>AJ278</f>
        <v>0.7</v>
      </c>
      <c r="AM278" s="147">
        <f t="shared" ref="AM278:AN279" si="751">AK278</f>
        <v>0.70000000000000007</v>
      </c>
      <c r="AN278" s="147">
        <f t="shared" si="751"/>
        <v>0.7</v>
      </c>
    </row>
    <row r="279" spans="1:40" ht="15" customHeight="1" x14ac:dyDescent="0.2">
      <c r="A279" s="121" t="s">
        <v>447</v>
      </c>
      <c r="G279" s="147" t="e">
        <f t="shared" ref="G279" si="752">1-G278</f>
        <v>#DIV/0!</v>
      </c>
      <c r="H279" s="32">
        <f>1-H278</f>
        <v>0.30522942282210108</v>
      </c>
      <c r="I279" s="32">
        <f t="shared" ref="I279:W279" si="753">1-I278</f>
        <v>0.29819833459500378</v>
      </c>
      <c r="J279" s="32">
        <f t="shared" si="753"/>
        <v>0.30299632467451565</v>
      </c>
      <c r="K279" s="32">
        <f t="shared" si="753"/>
        <v>0.29714677150345481</v>
      </c>
      <c r="L279" s="147">
        <f t="shared" ref="L279" si="754">1-L278</f>
        <v>0.30084325775019449</v>
      </c>
      <c r="M279" s="32">
        <f t="shared" si="753"/>
        <v>0.31650391510717413</v>
      </c>
      <c r="N279" s="32">
        <f t="shared" si="753"/>
        <v>0.32513316296684003</v>
      </c>
      <c r="O279" s="32">
        <f t="shared" si="753"/>
        <v>0.32645845609899815</v>
      </c>
      <c r="P279" s="32">
        <f t="shared" si="753"/>
        <v>0.32586288416075648</v>
      </c>
      <c r="Q279" s="147">
        <f t="shared" si="753"/>
        <v>0.3234381272968716</v>
      </c>
      <c r="R279" s="32">
        <f t="shared" si="753"/>
        <v>0.31535431789329782</v>
      </c>
      <c r="S279" s="32">
        <f t="shared" si="753"/>
        <v>0.31319830120875536</v>
      </c>
      <c r="T279" s="32">
        <f t="shared" si="753"/>
        <v>0.31105690513583051</v>
      </c>
      <c r="U279" s="32">
        <f t="shared" si="753"/>
        <v>0.30728634661218923</v>
      </c>
      <c r="V279" s="147">
        <f t="shared" ref="V279" si="755">1-V278</f>
        <v>0.31177670192658424</v>
      </c>
      <c r="W279" s="32">
        <f t="shared" si="753"/>
        <v>0.31319956319956321</v>
      </c>
      <c r="X279" s="49">
        <v>0.3</v>
      </c>
      <c r="Y279" s="49">
        <f t="shared" ref="Y279:AJ279" si="756">X279</f>
        <v>0.3</v>
      </c>
      <c r="Z279" s="49">
        <f t="shared" si="756"/>
        <v>0.3</v>
      </c>
      <c r="AA279" s="147">
        <f t="shared" ref="AA279" si="757">1-AA278</f>
        <v>0.30310433040391127</v>
      </c>
      <c r="AB279" s="49">
        <f>Z279</f>
        <v>0.3</v>
      </c>
      <c r="AC279" s="49">
        <f t="shared" si="756"/>
        <v>0.3</v>
      </c>
      <c r="AD279" s="49">
        <f t="shared" si="756"/>
        <v>0.3</v>
      </c>
      <c r="AE279" s="49">
        <f t="shared" si="756"/>
        <v>0.3</v>
      </c>
      <c r="AF279" s="147">
        <f t="shared" ref="AF279" si="758">1-AF278</f>
        <v>0.29999999999999982</v>
      </c>
      <c r="AG279" s="49">
        <f>AE279</f>
        <v>0.3</v>
      </c>
      <c r="AH279" s="49">
        <f t="shared" si="756"/>
        <v>0.3</v>
      </c>
      <c r="AI279" s="49">
        <f t="shared" si="756"/>
        <v>0.3</v>
      </c>
      <c r="AJ279" s="49">
        <f t="shared" si="756"/>
        <v>0.3</v>
      </c>
      <c r="AK279" s="147">
        <f t="shared" ref="AK279" si="759">1-AK278</f>
        <v>0.29999999999999993</v>
      </c>
      <c r="AL279" s="147">
        <f>AJ279</f>
        <v>0.3</v>
      </c>
      <c r="AM279" s="147">
        <f t="shared" si="751"/>
        <v>0.29999999999999993</v>
      </c>
      <c r="AN279" s="147">
        <f t="shared" si="751"/>
        <v>0.3</v>
      </c>
    </row>
    <row r="280" spans="1:40" ht="15" customHeight="1" x14ac:dyDescent="0.2">
      <c r="G280" s="197"/>
      <c r="H280" s="27"/>
      <c r="I280" s="27"/>
      <c r="J280" s="27"/>
      <c r="K280" s="27"/>
      <c r="L280" s="197"/>
      <c r="M280" s="27"/>
      <c r="N280" s="27"/>
      <c r="O280" s="27"/>
      <c r="P280" s="27"/>
      <c r="Q280" s="197"/>
      <c r="R280" s="27"/>
      <c r="S280" s="27"/>
      <c r="T280" s="27"/>
      <c r="U280" s="27"/>
      <c r="V280" s="197"/>
      <c r="W280" s="27"/>
      <c r="X280" s="25"/>
      <c r="Y280" s="25"/>
      <c r="Z280" s="25"/>
      <c r="AA280" s="197"/>
      <c r="AF280" s="197"/>
      <c r="AK280" s="197"/>
      <c r="AL280" s="197"/>
      <c r="AM280" s="197"/>
      <c r="AN280" s="197"/>
    </row>
    <row r="281" spans="1:40" ht="15" customHeight="1" x14ac:dyDescent="0.2">
      <c r="A281" s="121" t="s">
        <v>150</v>
      </c>
      <c r="G281" s="166">
        <f t="shared" ref="G281" si="760">G251</f>
        <v>0</v>
      </c>
      <c r="H281" s="165">
        <f t="shared" ref="H281:Z281" si="761">H251</f>
        <v>27.445000000000022</v>
      </c>
      <c r="I281" s="165">
        <f t="shared" si="761"/>
        <v>24.733999999999995</v>
      </c>
      <c r="J281" s="165">
        <f t="shared" si="761"/>
        <v>160.19660000000002</v>
      </c>
      <c r="K281" s="165">
        <f t="shared" si="761"/>
        <v>137.11539999999997</v>
      </c>
      <c r="L281" s="166">
        <f t="shared" ref="L281" si="762">L251</f>
        <v>349.49099999999993</v>
      </c>
      <c r="M281" s="165">
        <f t="shared" si="761"/>
        <v>146.72499999999999</v>
      </c>
      <c r="N281" s="165">
        <f t="shared" si="761"/>
        <v>72.271999999999991</v>
      </c>
      <c r="O281" s="165">
        <f t="shared" si="761"/>
        <v>98.918000000000035</v>
      </c>
      <c r="P281" s="165">
        <f t="shared" si="761"/>
        <v>146.75399999999996</v>
      </c>
      <c r="Q281" s="166">
        <f t="shared" ref="Q281" si="763">Q251</f>
        <v>464.66900000000004</v>
      </c>
      <c r="R281" s="165">
        <f t="shared" si="761"/>
        <v>39.289999999999992</v>
      </c>
      <c r="S281" s="165">
        <f t="shared" si="761"/>
        <v>10.818000000000012</v>
      </c>
      <c r="T281" s="165">
        <f t="shared" si="761"/>
        <v>35.907999999999987</v>
      </c>
      <c r="U281" s="165">
        <f t="shared" si="761"/>
        <v>107.62199999999999</v>
      </c>
      <c r="V281" s="166">
        <f t="shared" ref="V281" si="764">V251</f>
        <v>193.63800000000003</v>
      </c>
      <c r="W281" s="165">
        <f t="shared" si="761"/>
        <v>5.402000000000001</v>
      </c>
      <c r="X281" s="165">
        <f t="shared" si="761"/>
        <v>32.326957594355449</v>
      </c>
      <c r="Y281" s="165">
        <f t="shared" si="761"/>
        <v>49.959963054718997</v>
      </c>
      <c r="Z281" s="165">
        <f t="shared" si="761"/>
        <v>75.574956382617202</v>
      </c>
      <c r="AA281" s="166">
        <f t="shared" ref="AA281:AN281" si="765">AA251</f>
        <v>163.26387703169169</v>
      </c>
      <c r="AB281" s="165">
        <f t="shared" si="765"/>
        <v>98.199157941558752</v>
      </c>
      <c r="AC281" s="165">
        <f t="shared" si="765"/>
        <v>94.641891652279966</v>
      </c>
      <c r="AD281" s="165">
        <f t="shared" si="765"/>
        <v>47.809465060248584</v>
      </c>
      <c r="AE281" s="165">
        <f t="shared" si="765"/>
        <v>109.37296490966676</v>
      </c>
      <c r="AF281" s="166">
        <f t="shared" si="765"/>
        <v>350.02347956375411</v>
      </c>
      <c r="AG281" s="165">
        <f t="shared" si="765"/>
        <v>94.016729135237938</v>
      </c>
      <c r="AH281" s="165">
        <f t="shared" si="765"/>
        <v>102.78669065968634</v>
      </c>
      <c r="AI281" s="165">
        <f t="shared" si="765"/>
        <v>68.312209270426521</v>
      </c>
      <c r="AJ281" s="165">
        <f t="shared" si="765"/>
        <v>119.9096316721391</v>
      </c>
      <c r="AK281" s="166">
        <f t="shared" si="765"/>
        <v>385.02526073748987</v>
      </c>
      <c r="AL281" s="166">
        <f t="shared" si="765"/>
        <v>429.84850443761889</v>
      </c>
      <c r="AM281" s="166">
        <f t="shared" si="765"/>
        <v>443.34023718379888</v>
      </c>
      <c r="AN281" s="166">
        <f t="shared" si="765"/>
        <v>458.18114320459642</v>
      </c>
    </row>
    <row r="282" spans="1:40" ht="15" customHeight="1" x14ac:dyDescent="0.2">
      <c r="A282" s="121" t="s">
        <v>151</v>
      </c>
      <c r="G282" s="166">
        <f t="shared" ref="G282" si="766">G254</f>
        <v>0</v>
      </c>
      <c r="H282" s="165">
        <f t="shared" ref="H282:Z282" si="767">H254</f>
        <v>-17.231999999999999</v>
      </c>
      <c r="I282" s="165">
        <f t="shared" si="767"/>
        <v>-12.129000000000001</v>
      </c>
      <c r="J282" s="165">
        <f t="shared" si="767"/>
        <v>-9.7110000000000021</v>
      </c>
      <c r="K282" s="165">
        <f t="shared" si="767"/>
        <v>-8.0150000000000006</v>
      </c>
      <c r="L282" s="166">
        <f t="shared" ref="L282" si="768">L254</f>
        <v>-47.087000000000003</v>
      </c>
      <c r="M282" s="165">
        <f t="shared" si="767"/>
        <v>-7.2629999999999999</v>
      </c>
      <c r="N282" s="165">
        <f t="shared" si="767"/>
        <v>-6.0500000000000007</v>
      </c>
      <c r="O282" s="165">
        <f t="shared" si="767"/>
        <v>-8.0340000000000007</v>
      </c>
      <c r="P282" s="165">
        <f t="shared" si="767"/>
        <v>-16.341999999999999</v>
      </c>
      <c r="Q282" s="166">
        <f t="shared" ref="Q282" si="769">Q254</f>
        <v>-37.689</v>
      </c>
      <c r="R282" s="165">
        <f t="shared" si="767"/>
        <v>-13.122999999999999</v>
      </c>
      <c r="S282" s="165">
        <f t="shared" si="767"/>
        <v>-11.026999999999999</v>
      </c>
      <c r="T282" s="165">
        <f t="shared" si="767"/>
        <v>-12.955</v>
      </c>
      <c r="U282" s="165">
        <f t="shared" si="767"/>
        <v>-15.763000000000005</v>
      </c>
      <c r="V282" s="166">
        <f t="shared" ref="V282" si="770">V254</f>
        <v>-52.868000000000002</v>
      </c>
      <c r="W282" s="165">
        <f t="shared" si="767"/>
        <v>-24.39</v>
      </c>
      <c r="X282" s="165">
        <f t="shared" si="767"/>
        <v>-25.397925637499998</v>
      </c>
      <c r="Y282" s="165">
        <f t="shared" si="767"/>
        <v>-26.615408137500005</v>
      </c>
      <c r="Z282" s="165">
        <f t="shared" si="767"/>
        <v>-27.400115437500002</v>
      </c>
      <c r="AA282" s="166">
        <f t="shared" ref="AA282:AN282" si="771">AA254</f>
        <v>-103.8034492125</v>
      </c>
      <c r="AB282" s="165">
        <f t="shared" si="771"/>
        <v>-27.566659799250001</v>
      </c>
      <c r="AC282" s="165">
        <f t="shared" si="771"/>
        <v>-27.243604001250002</v>
      </c>
      <c r="AD282" s="165">
        <f t="shared" si="771"/>
        <v>-28.894839236249997</v>
      </c>
      <c r="AE282" s="165">
        <f t="shared" si="771"/>
        <v>-29.127883931249997</v>
      </c>
      <c r="AF282" s="166">
        <f t="shared" si="771"/>
        <v>-112.832986968</v>
      </c>
      <c r="AG282" s="165">
        <f t="shared" si="771"/>
        <v>-29.786191599449996</v>
      </c>
      <c r="AH282" s="165">
        <f t="shared" si="771"/>
        <v>-29.091999621749999</v>
      </c>
      <c r="AI282" s="165">
        <f t="shared" si="771"/>
        <v>-30.74008603575</v>
      </c>
      <c r="AJ282" s="165">
        <f t="shared" si="771"/>
        <v>-30.910004141250003</v>
      </c>
      <c r="AK282" s="166">
        <f t="shared" si="771"/>
        <v>-120.52828139819999</v>
      </c>
      <c r="AL282" s="166">
        <f t="shared" si="771"/>
        <v>-124.04065505052002</v>
      </c>
      <c r="AM282" s="166">
        <f t="shared" si="771"/>
        <v>-127.904266068072</v>
      </c>
      <c r="AN282" s="166">
        <f t="shared" si="771"/>
        <v>-132.15423818737921</v>
      </c>
    </row>
    <row r="283" spans="1:40" ht="15" customHeight="1" x14ac:dyDescent="0.2">
      <c r="A283" s="238" t="s">
        <v>25</v>
      </c>
      <c r="B283" s="239"/>
      <c r="C283" s="239"/>
      <c r="D283" s="239"/>
      <c r="E283" s="239"/>
      <c r="F283" s="239"/>
      <c r="G283" s="168">
        <f t="shared" ref="G283" si="772">SUM(G281:G282)</f>
        <v>0</v>
      </c>
      <c r="H283" s="240">
        <f t="shared" ref="H283:P283" si="773">SUM(H281:H282)</f>
        <v>10.213000000000022</v>
      </c>
      <c r="I283" s="240">
        <f t="shared" si="773"/>
        <v>12.604999999999993</v>
      </c>
      <c r="J283" s="240">
        <f t="shared" si="773"/>
        <v>150.48560000000001</v>
      </c>
      <c r="K283" s="240">
        <f t="shared" si="773"/>
        <v>129.10039999999998</v>
      </c>
      <c r="L283" s="168">
        <f t="shared" ref="L283" si="774">SUM(L281:L282)</f>
        <v>302.40399999999994</v>
      </c>
      <c r="M283" s="240">
        <f t="shared" si="773"/>
        <v>139.46199999999999</v>
      </c>
      <c r="N283" s="240">
        <f t="shared" si="773"/>
        <v>66.221999999999994</v>
      </c>
      <c r="O283" s="240">
        <f t="shared" si="773"/>
        <v>90.884000000000029</v>
      </c>
      <c r="P283" s="240">
        <f t="shared" si="773"/>
        <v>130.41199999999998</v>
      </c>
      <c r="Q283" s="168">
        <f t="shared" ref="Q283" si="775">SUM(Q281:Q282)</f>
        <v>426.98</v>
      </c>
      <c r="R283" s="240">
        <f>SUM(R281:R282)</f>
        <v>26.166999999999994</v>
      </c>
      <c r="S283" s="240">
        <f t="shared" ref="S283:Z283" si="776">SUM(S281:S282)</f>
        <v>-0.2089999999999872</v>
      </c>
      <c r="T283" s="240">
        <f t="shared" si="776"/>
        <v>22.952999999999989</v>
      </c>
      <c r="U283" s="240">
        <f t="shared" si="776"/>
        <v>91.85899999999998</v>
      </c>
      <c r="V283" s="168">
        <f t="shared" ref="V283" si="777">SUM(V281:V282)</f>
        <v>140.77000000000004</v>
      </c>
      <c r="W283" s="240">
        <f t="shared" si="776"/>
        <v>-18.988</v>
      </c>
      <c r="X283" s="240">
        <f t="shared" si="776"/>
        <v>6.9290319568554501</v>
      </c>
      <c r="Y283" s="240">
        <f t="shared" si="776"/>
        <v>23.344554917218993</v>
      </c>
      <c r="Z283" s="240">
        <f t="shared" si="776"/>
        <v>48.174840945117197</v>
      </c>
      <c r="AA283" s="168">
        <f t="shared" ref="AA283:AN283" si="778">SUM(AA281:AA282)</f>
        <v>59.460427819191693</v>
      </c>
      <c r="AB283" s="240">
        <f t="shared" si="778"/>
        <v>70.632498142308748</v>
      </c>
      <c r="AC283" s="240">
        <f t="shared" si="778"/>
        <v>67.39828765102996</v>
      </c>
      <c r="AD283" s="240">
        <f t="shared" si="778"/>
        <v>18.914625823998588</v>
      </c>
      <c r="AE283" s="240">
        <f t="shared" si="778"/>
        <v>80.245080978416766</v>
      </c>
      <c r="AF283" s="168">
        <f t="shared" si="778"/>
        <v>237.19049259575411</v>
      </c>
      <c r="AG283" s="240">
        <f t="shared" si="778"/>
        <v>64.230537535787946</v>
      </c>
      <c r="AH283" s="240">
        <f t="shared" si="778"/>
        <v>73.694691037936337</v>
      </c>
      <c r="AI283" s="240">
        <f t="shared" si="778"/>
        <v>37.572123234676525</v>
      </c>
      <c r="AJ283" s="240">
        <f t="shared" si="778"/>
        <v>88.9996275308891</v>
      </c>
      <c r="AK283" s="168">
        <f t="shared" si="778"/>
        <v>264.49697933928985</v>
      </c>
      <c r="AL283" s="168">
        <f t="shared" si="778"/>
        <v>305.80784938709888</v>
      </c>
      <c r="AM283" s="168">
        <f t="shared" si="778"/>
        <v>315.43597111572689</v>
      </c>
      <c r="AN283" s="168">
        <f t="shared" si="778"/>
        <v>326.02690501721725</v>
      </c>
    </row>
    <row r="284" spans="1:40" ht="15" customHeight="1" x14ac:dyDescent="0.2">
      <c r="G284" s="154"/>
      <c r="L284" s="154"/>
      <c r="M284" s="21"/>
      <c r="N284" s="21"/>
      <c r="O284" s="21"/>
      <c r="P284" s="21"/>
      <c r="Q284" s="154"/>
      <c r="R284" s="21"/>
      <c r="V284" s="154"/>
      <c r="AA284" s="154"/>
      <c r="AF284" s="154"/>
      <c r="AK284" s="154"/>
      <c r="AL284" s="154"/>
      <c r="AM284" s="154"/>
      <c r="AN284" s="154"/>
    </row>
    <row r="285" spans="1:40" ht="15" customHeight="1" x14ac:dyDescent="0.2">
      <c r="A285" s="121" t="s">
        <v>347</v>
      </c>
      <c r="G285" s="197"/>
      <c r="H285" s="31">
        <f>-H262/H230</f>
        <v>0.18855975867948213</v>
      </c>
      <c r="I285" s="31">
        <f>-I262/I230</f>
        <v>0.19121093322236576</v>
      </c>
      <c r="J285" s="31">
        <f>-J262/J230</f>
        <v>0.13160015598596142</v>
      </c>
      <c r="K285" s="31">
        <f>-K262/K230</f>
        <v>8.8698265168853374E-2</v>
      </c>
      <c r="L285" s="197">
        <f>-L262/L230</f>
        <v>0.15667547161962603</v>
      </c>
      <c r="M285" s="31">
        <f>-M262/M230</f>
        <v>0.12273273995669957</v>
      </c>
      <c r="N285" s="31">
        <f>-N262/N230</f>
        <v>0.15080584954547452</v>
      </c>
      <c r="O285" s="31">
        <f>-O262/O230</f>
        <v>0.21141605779660672</v>
      </c>
      <c r="P285" s="31">
        <f>-P262/P230</f>
        <v>0.20653241158200572</v>
      </c>
      <c r="Q285" s="197">
        <f>-Q262/Q230</f>
        <v>0.17273507181917958</v>
      </c>
      <c r="R285" s="31">
        <f>-R262/R230</f>
        <v>0.33812902161359509</v>
      </c>
      <c r="S285" s="31">
        <f>-S262/S230</f>
        <v>0.24813175802613452</v>
      </c>
      <c r="T285" s="31">
        <f>-T262/T230</f>
        <v>0.28996602950869543</v>
      </c>
      <c r="U285" s="31">
        <f>-U262/U230</f>
        <v>0.211061971466109</v>
      </c>
      <c r="V285" s="197">
        <f>-V262/V230</f>
        <v>0.26195995294062829</v>
      </c>
      <c r="W285" s="31">
        <f>-W262/W230</f>
        <v>0.38353712085388098</v>
      </c>
      <c r="X285" s="27">
        <f>-X262/X230</f>
        <v>0.39208075676842657</v>
      </c>
      <c r="Y285" s="27">
        <f>-Y262/Y230</f>
        <v>0.3045998334418748</v>
      </c>
      <c r="Z285" s="27">
        <f>-Z262/Z230</f>
        <v>0.25186773991027439</v>
      </c>
      <c r="AA285" s="197">
        <f>-AA262/AA230</f>
        <v>0.31990039835406986</v>
      </c>
      <c r="AB285" s="31">
        <f>-AB262/AB230</f>
        <v>0.26767644154980735</v>
      </c>
      <c r="AC285" s="27">
        <f>-AC262/AC230</f>
        <v>0.26284995059626143</v>
      </c>
      <c r="AD285" s="27">
        <f>-AD262/AD230</f>
        <v>0.23847864542047686</v>
      </c>
      <c r="AE285" s="27">
        <f>-AE262/AE230</f>
        <v>0.23547284936242446</v>
      </c>
      <c r="AF285" s="197">
        <f>-AF262/AF230</f>
        <v>0.25033603825686207</v>
      </c>
      <c r="AG285" s="31">
        <f>-AG262/AG230</f>
        <v>0.26266650079899473</v>
      </c>
      <c r="AH285" s="27">
        <f>-AH262/AH230</f>
        <v>0.27047591104638907</v>
      </c>
      <c r="AI285" s="27">
        <f>-AI262/AI230</f>
        <v>0.25091504785200586</v>
      </c>
      <c r="AJ285" s="27">
        <f>-AJ262/AJ230</f>
        <v>0.24856839309948708</v>
      </c>
      <c r="AK285" s="197">
        <f>-AK262/AK230</f>
        <v>0.25786900196915802</v>
      </c>
      <c r="AL285" s="197">
        <f>-AL262/AL230</f>
        <v>0.28249729011871733</v>
      </c>
      <c r="AM285" s="197">
        <f>-AM262/AM230</f>
        <v>0.3096284252799687</v>
      </c>
      <c r="AN285" s="197">
        <f>-AN262/AN230</f>
        <v>0.3384119668790882</v>
      </c>
    </row>
    <row r="286" spans="1:40" ht="15" customHeight="1" x14ac:dyDescent="0.2">
      <c r="A286" s="121" t="s">
        <v>348</v>
      </c>
      <c r="G286" s="197"/>
      <c r="H286" s="31">
        <f>-H264/H230</f>
        <v>0</v>
      </c>
      <c r="I286" s="31">
        <f>-I264/I230</f>
        <v>0.14614862349153507</v>
      </c>
      <c r="J286" s="31">
        <f>-J264/J230</f>
        <v>0</v>
      </c>
      <c r="K286" s="31">
        <f>-K264/K230</f>
        <v>0</v>
      </c>
      <c r="L286" s="197">
        <f>-L264/L230</f>
        <v>5.5516961667255969E-2</v>
      </c>
      <c r="M286" s="31">
        <f>-M264/M230</f>
        <v>0</v>
      </c>
      <c r="N286" s="31">
        <f>-N264/N230</f>
        <v>0</v>
      </c>
      <c r="O286" s="31">
        <f>-O264/O230</f>
        <v>0</v>
      </c>
      <c r="P286" s="31">
        <f>-P264/P230</f>
        <v>0.66814948401963736</v>
      </c>
      <c r="Q286" s="197">
        <f>-Q264/Q230</f>
        <v>0.15980905731635428</v>
      </c>
      <c r="R286" s="31">
        <f>-R264/R230</f>
        <v>1.2954297970631909</v>
      </c>
      <c r="S286" s="31">
        <f>-S264/S230</f>
        <v>4.8903477643718958</v>
      </c>
      <c r="T286" s="31">
        <f>-T264/T230</f>
        <v>4.2259798205141204</v>
      </c>
      <c r="U286" s="31">
        <f>-U264/U230</f>
        <v>0.83394089672655836</v>
      </c>
      <c r="V286" s="197">
        <f>-V264/V230</f>
        <v>2.8264743910820154</v>
      </c>
      <c r="W286" s="31">
        <f>-W264/W230</f>
        <v>0.89066405458353026</v>
      </c>
      <c r="X286" s="242">
        <v>0.25</v>
      </c>
      <c r="Y286" s="242">
        <f t="shared" ref="Y286:AJ286" si="779">X286</f>
        <v>0.25</v>
      </c>
      <c r="Z286" s="242">
        <f t="shared" si="779"/>
        <v>0.25</v>
      </c>
      <c r="AA286" s="197">
        <f>-AA264/AA230</f>
        <v>0.36445416971584221</v>
      </c>
      <c r="AB286" s="241">
        <f>Z286</f>
        <v>0.25</v>
      </c>
      <c r="AC286" s="241">
        <f t="shared" si="779"/>
        <v>0.25</v>
      </c>
      <c r="AD286" s="241">
        <f t="shared" si="779"/>
        <v>0.25</v>
      </c>
      <c r="AE286" s="241">
        <f t="shared" si="779"/>
        <v>0.25</v>
      </c>
      <c r="AF286" s="197">
        <f>-AF264/AF230</f>
        <v>0.25</v>
      </c>
      <c r="AG286" s="242">
        <f>AE286</f>
        <v>0.25</v>
      </c>
      <c r="AH286" s="242">
        <f t="shared" si="779"/>
        <v>0.25</v>
      </c>
      <c r="AI286" s="242">
        <f t="shared" si="779"/>
        <v>0.25</v>
      </c>
      <c r="AJ286" s="242">
        <f t="shared" si="779"/>
        <v>0.25</v>
      </c>
      <c r="AK286" s="197">
        <f>-AK264/AK230</f>
        <v>0.25</v>
      </c>
      <c r="AL286" s="197">
        <f>AJ286</f>
        <v>0.25</v>
      </c>
      <c r="AM286" s="197">
        <f>AL286</f>
        <v>0.25</v>
      </c>
      <c r="AN286" s="197">
        <f>AM286</f>
        <v>0.25</v>
      </c>
    </row>
    <row r="287" spans="1:40" ht="15" customHeight="1" x14ac:dyDescent="0.2">
      <c r="G287" s="166"/>
      <c r="H287" s="165"/>
      <c r="I287" s="165"/>
      <c r="J287" s="165"/>
      <c r="K287" s="165"/>
      <c r="L287" s="166"/>
      <c r="M287" s="165"/>
      <c r="N287" s="165"/>
      <c r="O287" s="165"/>
      <c r="P287" s="165"/>
      <c r="Q287" s="166"/>
      <c r="R287" s="165"/>
      <c r="S287" s="165"/>
      <c r="T287" s="165"/>
      <c r="U287" s="165"/>
      <c r="V287" s="166"/>
      <c r="W287" s="165"/>
      <c r="X287" s="165"/>
      <c r="Y287" s="165"/>
      <c r="Z287" s="165"/>
      <c r="AA287" s="166"/>
      <c r="AB287" s="165"/>
      <c r="AC287" s="165"/>
      <c r="AD287" s="165"/>
      <c r="AE287" s="165"/>
      <c r="AF287" s="166"/>
      <c r="AG287" s="165"/>
      <c r="AH287" s="165"/>
      <c r="AI287" s="165"/>
      <c r="AJ287" s="165"/>
      <c r="AK287" s="166"/>
      <c r="AL287" s="166"/>
      <c r="AM287" s="166"/>
      <c r="AN287" s="166"/>
    </row>
    <row r="288" spans="1:40" ht="15" customHeight="1" x14ac:dyDescent="0.2">
      <c r="G288" s="166"/>
      <c r="H288" s="165"/>
      <c r="I288" s="165"/>
      <c r="J288" s="165"/>
      <c r="K288" s="165"/>
      <c r="L288" s="166"/>
      <c r="M288" s="165"/>
      <c r="N288" s="165"/>
      <c r="O288" s="165"/>
      <c r="P288" s="165"/>
      <c r="Q288" s="166"/>
      <c r="R288" s="165"/>
      <c r="S288" s="165"/>
      <c r="T288" s="165"/>
      <c r="U288" s="165"/>
      <c r="V288" s="166"/>
      <c r="W288" s="165"/>
      <c r="X288" s="165"/>
      <c r="Y288" s="165"/>
      <c r="Z288" s="165"/>
      <c r="AA288" s="166"/>
      <c r="AB288" s="165"/>
      <c r="AC288" s="165"/>
      <c r="AD288" s="165"/>
      <c r="AE288" s="165"/>
      <c r="AF288" s="166"/>
      <c r="AG288" s="165"/>
      <c r="AH288" s="165"/>
      <c r="AI288" s="165"/>
      <c r="AJ288" s="165"/>
      <c r="AK288" s="166"/>
      <c r="AL288" s="166"/>
      <c r="AM288" s="166"/>
      <c r="AN288" s="166"/>
    </row>
    <row r="289" spans="1:40" ht="15" customHeight="1" x14ac:dyDescent="0.2">
      <c r="A289" s="1" t="s">
        <v>606</v>
      </c>
      <c r="G289" s="166"/>
      <c r="H289" s="165"/>
      <c r="I289" s="165"/>
      <c r="J289" s="165"/>
      <c r="K289" s="165"/>
      <c r="L289" s="166"/>
      <c r="M289" s="165"/>
      <c r="N289" s="165"/>
      <c r="O289" s="165"/>
      <c r="P289" s="165"/>
      <c r="Q289" s="166"/>
      <c r="R289" s="165"/>
      <c r="S289" s="165"/>
      <c r="T289" s="165"/>
      <c r="U289" s="165"/>
      <c r="V289" s="166"/>
      <c r="W289" s="165"/>
      <c r="X289" s="165"/>
      <c r="Y289" s="165"/>
      <c r="Z289" s="165"/>
      <c r="AA289" s="166"/>
      <c r="AB289" s="165"/>
      <c r="AC289" s="165"/>
      <c r="AD289" s="165"/>
      <c r="AE289" s="165"/>
      <c r="AF289" s="166"/>
      <c r="AG289" s="165"/>
      <c r="AH289" s="165"/>
      <c r="AI289" s="165"/>
      <c r="AJ289" s="165"/>
      <c r="AK289" s="166"/>
      <c r="AL289" s="166"/>
      <c r="AM289" s="166"/>
      <c r="AN289" s="166"/>
    </row>
    <row r="290" spans="1:40" ht="15" customHeight="1" x14ac:dyDescent="0.2">
      <c r="A290" s="121" t="s">
        <v>155</v>
      </c>
      <c r="G290" s="166">
        <f>G198+G192-G176</f>
        <v>0</v>
      </c>
      <c r="H290" s="165">
        <f t="shared" ref="H290:AN290" si="780">H198+H192-H176</f>
        <v>965.93399999999997</v>
      </c>
      <c r="I290" s="165">
        <f t="shared" si="780"/>
        <v>968.01699999999994</v>
      </c>
      <c r="J290" s="165">
        <f t="shared" si="780"/>
        <v>828.08399999999983</v>
      </c>
      <c r="K290" s="165">
        <f t="shared" si="780"/>
        <v>685.21300000000008</v>
      </c>
      <c r="L290" s="166">
        <f t="shared" si="780"/>
        <v>685.21300000000008</v>
      </c>
      <c r="M290" s="165">
        <f t="shared" si="780"/>
        <v>545.20600000000013</v>
      </c>
      <c r="N290" s="165">
        <f t="shared" si="780"/>
        <v>449.89800000000002</v>
      </c>
      <c r="O290" s="165">
        <f t="shared" si="780"/>
        <v>378.10499999999996</v>
      </c>
      <c r="P290" s="165">
        <f t="shared" si="780"/>
        <v>286.38799999999992</v>
      </c>
      <c r="Q290" s="166">
        <f t="shared" si="780"/>
        <v>286.38799999999992</v>
      </c>
      <c r="R290" s="165">
        <f t="shared" si="780"/>
        <v>303.26799999999997</v>
      </c>
      <c r="S290" s="165">
        <f t="shared" si="780"/>
        <v>520.35099999999989</v>
      </c>
      <c r="T290" s="165">
        <f t="shared" si="780"/>
        <v>666.70100000000002</v>
      </c>
      <c r="U290" s="165">
        <f t="shared" si="780"/>
        <v>669.57199999999989</v>
      </c>
      <c r="V290" s="166">
        <f t="shared" si="780"/>
        <v>669.57199999999989</v>
      </c>
      <c r="W290" s="165">
        <f t="shared" si="780"/>
        <v>735.08499999999992</v>
      </c>
      <c r="X290" s="165">
        <f t="shared" si="780"/>
        <v>749.72506964505658</v>
      </c>
      <c r="Y290" s="165">
        <f t="shared" si="780"/>
        <v>750.46854805442524</v>
      </c>
      <c r="Z290" s="165">
        <f t="shared" si="780"/>
        <v>728.72773795941657</v>
      </c>
      <c r="AA290" s="166">
        <f t="shared" si="780"/>
        <v>728.72773795941657</v>
      </c>
      <c r="AB290" s="165">
        <f t="shared" si="780"/>
        <v>687.66300907240998</v>
      </c>
      <c r="AC290" s="165">
        <f t="shared" si="780"/>
        <v>650.04903525511997</v>
      </c>
      <c r="AD290" s="165">
        <f t="shared" si="780"/>
        <v>662.40115046854032</v>
      </c>
      <c r="AE290" s="165">
        <f t="shared" si="780"/>
        <v>613.57150070608839</v>
      </c>
      <c r="AF290" s="166">
        <f t="shared" si="780"/>
        <v>613.57150070608839</v>
      </c>
      <c r="AG290" s="165">
        <f t="shared" si="780"/>
        <v>583.62276877630234</v>
      </c>
      <c r="AH290" s="165">
        <f t="shared" si="780"/>
        <v>543.63751560696096</v>
      </c>
      <c r="AI290" s="165">
        <f t="shared" si="780"/>
        <v>541.00559666164293</v>
      </c>
      <c r="AJ290" s="165">
        <f t="shared" si="780"/>
        <v>487.03779749687942</v>
      </c>
      <c r="AK290" s="166">
        <f t="shared" si="780"/>
        <v>487.03779749687942</v>
      </c>
      <c r="AL290" s="166">
        <f t="shared" si="780"/>
        <v>331.87676513982643</v>
      </c>
      <c r="AM290" s="166">
        <f t="shared" si="780"/>
        <v>181.66712581543845</v>
      </c>
      <c r="AN290" s="166">
        <f t="shared" si="780"/>
        <v>37.313686416853443</v>
      </c>
    </row>
    <row r="291" spans="1:40" ht="15" customHeight="1" x14ac:dyDescent="0.2">
      <c r="A291" s="121" t="s">
        <v>4</v>
      </c>
      <c r="G291" s="166">
        <f>G170</f>
        <v>363.2</v>
      </c>
      <c r="H291" s="165"/>
      <c r="I291" s="165"/>
      <c r="J291" s="165"/>
      <c r="K291" s="165"/>
      <c r="L291" s="166">
        <f>L170</f>
        <v>447.08600000000001</v>
      </c>
      <c r="M291" s="165">
        <f>M170</f>
        <v>89.072000000000003</v>
      </c>
      <c r="N291" s="165">
        <f>N170</f>
        <v>118.93199999999999</v>
      </c>
      <c r="O291" s="165">
        <f>O170</f>
        <v>99.030000000000015</v>
      </c>
      <c r="P291" s="165">
        <f>P170</f>
        <v>101.07600000000001</v>
      </c>
      <c r="Q291" s="166">
        <f>Q170</f>
        <v>408.11</v>
      </c>
      <c r="R291" s="165">
        <f>R170</f>
        <v>76.132000000000005</v>
      </c>
      <c r="S291" s="165">
        <f>S170</f>
        <v>92.403000000000006</v>
      </c>
      <c r="T291" s="165">
        <f>T170</f>
        <v>88.393999999999991</v>
      </c>
      <c r="U291" s="165">
        <f>U170</f>
        <v>96.327999999999975</v>
      </c>
      <c r="V291" s="166">
        <f>V170</f>
        <v>353.25700000000001</v>
      </c>
      <c r="W291" s="165">
        <f>W170</f>
        <v>71.828999999999994</v>
      </c>
      <c r="X291" s="165">
        <f>X170</f>
        <v>85.031130812731334</v>
      </c>
      <c r="Y291" s="165">
        <f>Y170</f>
        <v>99.004733252290606</v>
      </c>
      <c r="Z291" s="165">
        <f>Z170</f>
        <v>111.63192215968357</v>
      </c>
      <c r="AA291" s="166">
        <f>AA170</f>
        <v>367.49678622470549</v>
      </c>
      <c r="AB291" s="165">
        <f>AB170</f>
        <v>117.22936303628644</v>
      </c>
      <c r="AC291" s="165">
        <f>AC170</f>
        <v>118.05350256848612</v>
      </c>
      <c r="AD291" s="165">
        <f>AD170</f>
        <v>127.50285515500747</v>
      </c>
      <c r="AE291" s="165">
        <f>AE170</f>
        <v>128.66866102320796</v>
      </c>
      <c r="AF291" s="166">
        <f t="shared" ref="AF291:AK291" si="781">AF170</f>
        <v>491.45438178298798</v>
      </c>
      <c r="AG291" s="165">
        <f t="shared" si="781"/>
        <v>131.96184451605234</v>
      </c>
      <c r="AH291" s="165">
        <f t="shared" si="781"/>
        <v>128.48914979858463</v>
      </c>
      <c r="AI291" s="165">
        <f t="shared" si="781"/>
        <v>136.73370053913132</v>
      </c>
      <c r="AJ291" s="165">
        <f t="shared" si="781"/>
        <v>137.58371570255483</v>
      </c>
      <c r="AK291" s="166">
        <f t="shared" si="781"/>
        <v>534.76841055632315</v>
      </c>
      <c r="AL291" s="166">
        <f>AL170</f>
        <v>552.33905645833556</v>
      </c>
      <c r="AM291" s="166">
        <f>AM170</f>
        <v>571.66676695054923</v>
      </c>
      <c r="AN291" s="166">
        <f>AN170</f>
        <v>592.9272484919843</v>
      </c>
    </row>
    <row r="292" spans="1:40" ht="15" customHeight="1" x14ac:dyDescent="0.2">
      <c r="A292" s="121" t="s">
        <v>604</v>
      </c>
      <c r="G292" s="166"/>
      <c r="H292" s="165"/>
      <c r="I292" s="165"/>
      <c r="J292" s="165"/>
      <c r="K292" s="165"/>
      <c r="L292" s="166"/>
      <c r="M292" s="165"/>
      <c r="N292" s="165"/>
      <c r="O292" s="165"/>
      <c r="P292" s="165"/>
      <c r="Q292" s="166">
        <f>Q291</f>
        <v>408.11</v>
      </c>
      <c r="R292" s="165">
        <f>N291+O291+P291+R291</f>
        <v>395.17</v>
      </c>
      <c r="S292" s="165">
        <f>O291+P291+R291+S291</f>
        <v>368.64100000000008</v>
      </c>
      <c r="T292" s="165">
        <f>P291+R291+S291+T291</f>
        <v>358.00500000000005</v>
      </c>
      <c r="U292" s="165">
        <f>R291+S291+T291+U291</f>
        <v>353.25700000000001</v>
      </c>
      <c r="V292" s="166">
        <f>V291</f>
        <v>353.25700000000001</v>
      </c>
      <c r="W292" s="165">
        <f>S291+T291+U291+W291</f>
        <v>348.95400000000001</v>
      </c>
      <c r="X292" s="165">
        <f>T291+U291+W291+X291</f>
        <v>341.58213081273129</v>
      </c>
      <c r="Y292" s="165">
        <f>U291+W291+X291+Y291</f>
        <v>352.19286406502192</v>
      </c>
      <c r="Z292" s="165">
        <f>W291+X291+Y291+Z291</f>
        <v>367.49678622470549</v>
      </c>
      <c r="AA292" s="166">
        <f>AA291</f>
        <v>367.49678622470549</v>
      </c>
      <c r="AB292" s="165">
        <f>X291+Y291+Z291+AB291</f>
        <v>412.89714926099197</v>
      </c>
      <c r="AC292" s="165">
        <f>Y291+Z291+AB291+AC291</f>
        <v>445.91952101674673</v>
      </c>
      <c r="AD292" s="165">
        <f>Z291+AB291+AC291+AD291</f>
        <v>474.41764291946362</v>
      </c>
      <c r="AE292" s="165">
        <f>AB291+AC291+AD291+AE291</f>
        <v>491.45438178298798</v>
      </c>
      <c r="AF292" s="166">
        <f>AF291</f>
        <v>491.45438178298798</v>
      </c>
      <c r="AG292" s="165">
        <f>AC291+AD291+AE291+AG291</f>
        <v>506.18686326275389</v>
      </c>
      <c r="AH292" s="165">
        <f>AD291+AE291+AG291+AH291</f>
        <v>516.62251049285237</v>
      </c>
      <c r="AI292" s="165">
        <f>AE291+AG291+AH291+AI291</f>
        <v>525.85335587697625</v>
      </c>
      <c r="AJ292" s="165">
        <f>AG291+AH291+AI291+AJ291</f>
        <v>534.76841055632315</v>
      </c>
      <c r="AK292" s="166">
        <f>AK291</f>
        <v>534.76841055632315</v>
      </c>
      <c r="AL292" s="166">
        <f t="shared" ref="AL292:AN292" si="782">AL291</f>
        <v>552.33905645833556</v>
      </c>
      <c r="AM292" s="166">
        <f t="shared" si="782"/>
        <v>571.66676695054923</v>
      </c>
      <c r="AN292" s="166">
        <f t="shared" si="782"/>
        <v>592.9272484919843</v>
      </c>
    </row>
    <row r="293" spans="1:40" ht="15" customHeight="1" x14ac:dyDescent="0.2">
      <c r="A293" s="121" t="s">
        <v>605</v>
      </c>
      <c r="G293" s="418">
        <f>G290/G291</f>
        <v>0</v>
      </c>
      <c r="H293" s="419"/>
      <c r="I293" s="419"/>
      <c r="J293" s="419"/>
      <c r="K293" s="419"/>
      <c r="L293" s="418"/>
      <c r="M293" s="419"/>
      <c r="N293" s="419"/>
      <c r="O293" s="419"/>
      <c r="P293" s="419"/>
      <c r="Q293" s="418">
        <f>Q290/Q292</f>
        <v>0.70174217735414446</v>
      </c>
      <c r="R293" s="419">
        <f t="shared" ref="R293:U293" si="783">R290/R292</f>
        <v>0.76743679935217746</v>
      </c>
      <c r="S293" s="419">
        <f t="shared" si="783"/>
        <v>1.4115385971717735</v>
      </c>
      <c r="T293" s="419">
        <f t="shared" si="783"/>
        <v>1.8622672867697376</v>
      </c>
      <c r="U293" s="419">
        <f t="shared" si="783"/>
        <v>1.8954245775738341</v>
      </c>
      <c r="V293" s="418">
        <f>V290/V292</f>
        <v>1.8954245775738341</v>
      </c>
      <c r="W293" s="419">
        <f t="shared" ref="W293" si="784">W290/W292</f>
        <v>2.1065383976111463</v>
      </c>
      <c r="X293" s="419">
        <f t="shared" ref="X293" si="785">X290/X292</f>
        <v>2.194860333768704</v>
      </c>
      <c r="Y293" s="419">
        <f t="shared" ref="Y293" si="786">Y290/Y292</f>
        <v>2.1308454106437362</v>
      </c>
      <c r="Z293" s="419">
        <f t="shared" ref="Z293" si="787">Z290/Z292</f>
        <v>1.982949961129284</v>
      </c>
      <c r="AA293" s="418">
        <f>AA290/AA292</f>
        <v>1.982949961129284</v>
      </c>
      <c r="AB293" s="419">
        <f t="shared" ref="AB293" si="788">AB290/AB292</f>
        <v>1.6654583600375956</v>
      </c>
      <c r="AC293" s="419">
        <f t="shared" ref="AC293" si="789">AC290/AC292</f>
        <v>1.4577720970208592</v>
      </c>
      <c r="AD293" s="419">
        <f t="shared" ref="AD293" si="790">AD290/AD292</f>
        <v>1.3962405495551702</v>
      </c>
      <c r="AE293" s="419">
        <f t="shared" ref="AE293" si="791">AE290/AE292</f>
        <v>1.2484810868509537</v>
      </c>
      <c r="AF293" s="418">
        <f>AF290/AF292</f>
        <v>1.2484810868509537</v>
      </c>
      <c r="AG293" s="419">
        <f t="shared" ref="AG293" si="792">AG290/AG292</f>
        <v>1.152978892052662</v>
      </c>
      <c r="AH293" s="419">
        <f t="shared" ref="AH293" si="793">AH290/AH292</f>
        <v>1.0522915756968014</v>
      </c>
      <c r="AI293" s="419">
        <f t="shared" ref="AI293" si="794">AI290/AI292</f>
        <v>1.0288145746629247</v>
      </c>
      <c r="AJ293" s="419">
        <f t="shared" ref="AJ293" si="795">AJ290/AJ292</f>
        <v>0.91074526445982618</v>
      </c>
      <c r="AK293" s="418">
        <f t="shared" ref="AK293" si="796">AK290/AK292</f>
        <v>0.91074526445982618</v>
      </c>
      <c r="AL293" s="418">
        <f t="shared" ref="AL293" si="797">AL290/AL292</f>
        <v>0.60085695780388981</v>
      </c>
      <c r="AM293" s="418">
        <f t="shared" ref="AM293" si="798">AM290/AM292</f>
        <v>0.31778500398843923</v>
      </c>
      <c r="AN293" s="418">
        <f t="shared" ref="AN293" si="799">AN290/AN292</f>
        <v>6.2931306516532753E-2</v>
      </c>
    </row>
  </sheetData>
  <pageMargins left="0.75" right="0.75" top="1" bottom="1" header="0.5" footer="0.5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9C932-0937-4CBB-8553-A9A4EA04FF97}">
  <sheetPr>
    <tabColor theme="1"/>
  </sheetPr>
  <dimension ref="B2:L108"/>
  <sheetViews>
    <sheetView showGridLines="0" zoomScale="85" zoomScaleNormal="85" workbookViewId="0"/>
  </sheetViews>
  <sheetFormatPr defaultRowHeight="14.25" x14ac:dyDescent="0.2"/>
  <cols>
    <col min="1" max="1" width="9.140625" style="51"/>
    <col min="2" max="2" width="26.7109375" style="51" customWidth="1"/>
    <col min="3" max="3" width="11.85546875" style="51" customWidth="1"/>
    <col min="4" max="8" width="10.28515625" style="51" customWidth="1"/>
    <col min="9" max="9" width="9.42578125" style="51" bestFit="1" customWidth="1"/>
    <col min="10" max="10" width="10.28515625" style="51" customWidth="1"/>
    <col min="11" max="11" width="11.42578125" style="51" customWidth="1"/>
    <col min="12" max="12" width="9.140625" style="51"/>
    <col min="13" max="13" width="16.5703125" style="51" customWidth="1"/>
    <col min="14" max="16384" width="9.140625" style="51"/>
  </cols>
  <sheetData>
    <row r="2" spans="2:9" ht="15" x14ac:dyDescent="0.25">
      <c r="B2" s="50" t="s">
        <v>350</v>
      </c>
      <c r="C2" s="50"/>
      <c r="D2" s="50"/>
      <c r="E2" s="50"/>
      <c r="F2" s="50"/>
      <c r="G2" s="50"/>
      <c r="H2" s="50"/>
      <c r="I2" s="50"/>
    </row>
    <row r="4" spans="2:9" x14ac:dyDescent="0.2">
      <c r="B4" s="51" t="s">
        <v>351</v>
      </c>
      <c r="C4" s="304">
        <v>44926</v>
      </c>
    </row>
    <row r="5" spans="2:9" x14ac:dyDescent="0.2">
      <c r="B5" s="51" t="s">
        <v>352</v>
      </c>
      <c r="C5" s="82">
        <f>YEARFRAC(C4,C6,0)</f>
        <v>0.75</v>
      </c>
    </row>
    <row r="6" spans="2:9" x14ac:dyDescent="0.2">
      <c r="B6" s="51" t="s">
        <v>353</v>
      </c>
      <c r="C6" s="304">
        <v>45199</v>
      </c>
    </row>
    <row r="7" spans="2:9" x14ac:dyDescent="0.2">
      <c r="B7" s="51" t="s">
        <v>148</v>
      </c>
      <c r="C7" s="305">
        <v>0.21</v>
      </c>
    </row>
    <row r="8" spans="2:9" x14ac:dyDescent="0.2">
      <c r="B8" s="51" t="s">
        <v>354</v>
      </c>
      <c r="C8" s="305">
        <v>0.09</v>
      </c>
    </row>
    <row r="9" spans="2:9" x14ac:dyDescent="0.2">
      <c r="B9" s="51" t="s">
        <v>355</v>
      </c>
      <c r="C9" s="306">
        <v>3.5000000000000003E-2</v>
      </c>
    </row>
    <row r="12" spans="2:9" ht="15" x14ac:dyDescent="0.25">
      <c r="B12" s="50" t="s">
        <v>599</v>
      </c>
      <c r="C12" s="50"/>
      <c r="D12" s="50"/>
      <c r="E12" s="50"/>
      <c r="F12" s="50"/>
      <c r="G12" s="50"/>
      <c r="H12" s="50"/>
      <c r="I12" s="50"/>
    </row>
    <row r="14" spans="2:9" ht="36.75" customHeight="1" x14ac:dyDescent="0.25">
      <c r="B14" s="52"/>
      <c r="C14" s="53">
        <v>2022</v>
      </c>
      <c r="D14" s="54">
        <f t="shared" ref="D14:H14" si="0">C14+1</f>
        <v>2023</v>
      </c>
      <c r="E14" s="54">
        <f t="shared" si="0"/>
        <v>2024</v>
      </c>
      <c r="F14" s="54">
        <f t="shared" si="0"/>
        <v>2025</v>
      </c>
      <c r="G14" s="54">
        <f t="shared" si="0"/>
        <v>2026</v>
      </c>
      <c r="H14" s="55">
        <f t="shared" si="0"/>
        <v>2027</v>
      </c>
      <c r="I14" s="293" t="s">
        <v>356</v>
      </c>
    </row>
    <row r="15" spans="2:9" x14ac:dyDescent="0.2">
      <c r="C15" s="57"/>
      <c r="H15" s="57"/>
      <c r="I15" s="294"/>
    </row>
    <row r="16" spans="2:9" x14ac:dyDescent="0.2">
      <c r="B16" s="51" t="s">
        <v>357</v>
      </c>
      <c r="C16" s="58">
        <f>Model!V120</f>
        <v>2382.79</v>
      </c>
      <c r="D16" s="59">
        <f>Model!AA120</f>
        <v>2654.9204374999999</v>
      </c>
      <c r="E16" s="59">
        <f>Model!AF120</f>
        <v>2893.1535119999999</v>
      </c>
      <c r="F16" s="59">
        <f>Model!AK120</f>
        <v>3090.4687537999998</v>
      </c>
      <c r="G16" s="59">
        <f>Model!AL120</f>
        <v>3180.5296166800003</v>
      </c>
      <c r="H16" s="58">
        <f>Model!AM120</f>
        <v>3279.596565848</v>
      </c>
      <c r="I16" s="295">
        <f>H16</f>
        <v>3279.596565848</v>
      </c>
    </row>
    <row r="17" spans="2:9" x14ac:dyDescent="0.2">
      <c r="B17" s="51" t="s">
        <v>358</v>
      </c>
      <c r="C17" s="60"/>
      <c r="D17" s="61">
        <f t="shared" ref="D17:H17" si="1">D16/C16-1</f>
        <v>0.11420663906596884</v>
      </c>
      <c r="E17" s="61">
        <f t="shared" si="1"/>
        <v>8.9732660585615021E-2</v>
      </c>
      <c r="F17" s="62">
        <f t="shared" si="1"/>
        <v>6.8200750835236024E-2</v>
      </c>
      <c r="G17" s="63">
        <f t="shared" si="1"/>
        <v>2.914148954564344E-2</v>
      </c>
      <c r="H17" s="64">
        <f t="shared" si="1"/>
        <v>3.1147941100265752E-2</v>
      </c>
      <c r="I17" s="296"/>
    </row>
    <row r="18" spans="2:9" x14ac:dyDescent="0.2">
      <c r="C18" s="65"/>
      <c r="D18" s="56"/>
      <c r="E18" s="56"/>
      <c r="F18" s="56"/>
      <c r="G18" s="56"/>
      <c r="H18" s="65"/>
      <c r="I18" s="297"/>
    </row>
    <row r="19" spans="2:9" x14ac:dyDescent="0.2">
      <c r="B19" s="51" t="s">
        <v>360</v>
      </c>
      <c r="C19" s="58">
        <f>Model!V141</f>
        <v>232.62900000000002</v>
      </c>
      <c r="D19" s="59">
        <f>Model!AA141</f>
        <v>242.89664716970549</v>
      </c>
      <c r="E19" s="59">
        <f>Model!AF141</f>
        <v>356.054797421388</v>
      </c>
      <c r="F19" s="59">
        <f>Model!AK141</f>
        <v>390.13447287848311</v>
      </c>
      <c r="G19" s="59">
        <f>Model!AL141</f>
        <v>403.49027039771153</v>
      </c>
      <c r="H19" s="58">
        <f>Model!AM141</f>
        <v>418.18164766886281</v>
      </c>
      <c r="I19" s="295">
        <f>H19</f>
        <v>418.18164766886281</v>
      </c>
    </row>
    <row r="20" spans="2:9" x14ac:dyDescent="0.2">
      <c r="B20" s="51" t="s">
        <v>359</v>
      </c>
      <c r="C20" s="60">
        <f t="shared" ref="C20:H20" si="2">C19/C$16</f>
        <v>9.7628830068952788E-2</v>
      </c>
      <c r="D20" s="61">
        <f t="shared" si="2"/>
        <v>9.1489237771068044E-2</v>
      </c>
      <c r="E20" s="61">
        <f t="shared" si="2"/>
        <v>0.12306806256376347</v>
      </c>
      <c r="F20" s="61">
        <f t="shared" si="2"/>
        <v>0.12623796063259946</v>
      </c>
      <c r="G20" s="61">
        <f t="shared" si="2"/>
        <v>0.12686260435420668</v>
      </c>
      <c r="H20" s="60">
        <f t="shared" si="2"/>
        <v>0.12751008829061092</v>
      </c>
      <c r="I20" s="298">
        <f>I19/I$16</f>
        <v>0.12751008829061092</v>
      </c>
    </row>
    <row r="21" spans="2:9" x14ac:dyDescent="0.2">
      <c r="C21" s="65"/>
      <c r="D21" s="56"/>
      <c r="E21" s="56"/>
      <c r="F21" s="56"/>
      <c r="G21" s="56"/>
      <c r="H21" s="65"/>
      <c r="I21" s="297"/>
    </row>
    <row r="22" spans="2:9" x14ac:dyDescent="0.2">
      <c r="B22" s="51" t="s">
        <v>361</v>
      </c>
      <c r="C22" s="66">
        <f>Model!V233</f>
        <v>120.628</v>
      </c>
      <c r="D22" s="67">
        <f>Model!AA233</f>
        <v>124.600139055</v>
      </c>
      <c r="E22" s="67">
        <f>Model!AF233</f>
        <v>135.39958436159998</v>
      </c>
      <c r="F22" s="67">
        <f>Model!AK233</f>
        <v>144.63393767784001</v>
      </c>
      <c r="G22" s="67">
        <f>Model!AL233</f>
        <v>148.84878606062401</v>
      </c>
      <c r="H22" s="66">
        <f>Model!AM233</f>
        <v>153.48511928168639</v>
      </c>
      <c r="I22" s="299">
        <f>H22</f>
        <v>153.48511928168639</v>
      </c>
    </row>
    <row r="23" spans="2:9" x14ac:dyDescent="0.2">
      <c r="B23" s="51" t="s">
        <v>362</v>
      </c>
      <c r="C23" s="66">
        <f>C22*-$C$7</f>
        <v>-25.331879999999998</v>
      </c>
      <c r="D23" s="67">
        <f t="shared" ref="D23:H23" si="3">D22*-$C$7</f>
        <v>-26.16602920155</v>
      </c>
      <c r="E23" s="67">
        <f t="shared" si="3"/>
        <v>-28.433912715935993</v>
      </c>
      <c r="F23" s="67">
        <f t="shared" si="3"/>
        <v>-30.3731269123464</v>
      </c>
      <c r="G23" s="67">
        <f t="shared" si="3"/>
        <v>-31.258245072731039</v>
      </c>
      <c r="H23" s="66">
        <f t="shared" si="3"/>
        <v>-32.231875049154141</v>
      </c>
      <c r="I23" s="299">
        <f>H23</f>
        <v>-32.231875049154141</v>
      </c>
    </row>
    <row r="24" spans="2:9" x14ac:dyDescent="0.2">
      <c r="B24" s="51" t="s">
        <v>363</v>
      </c>
      <c r="C24" s="66">
        <f>Model!V254</f>
        <v>-52.868000000000002</v>
      </c>
      <c r="D24" s="67">
        <f>Model!AA254</f>
        <v>-103.8034492125</v>
      </c>
      <c r="E24" s="67">
        <f>Model!AF254</f>
        <v>-112.832986968</v>
      </c>
      <c r="F24" s="67">
        <f>Model!AK254</f>
        <v>-120.52828139819999</v>
      </c>
      <c r="G24" s="67">
        <f>Model!AL254</f>
        <v>-124.04065505052002</v>
      </c>
      <c r="H24" s="66">
        <f>Model!AM254</f>
        <v>-127.904266068072</v>
      </c>
      <c r="I24" s="299">
        <f>H24</f>
        <v>-127.904266068072</v>
      </c>
    </row>
    <row r="25" spans="2:9" x14ac:dyDescent="0.2">
      <c r="B25" s="68" t="s">
        <v>364</v>
      </c>
      <c r="C25" s="66">
        <f>(Model!Q177-Model!V177)+(Model!Q178-Model!V178)+(Model!Q180-Model!V180)+(Model!V193-Model!Q193)+(Model!V195-Model!Q195)</f>
        <v>-112.00200000000004</v>
      </c>
      <c r="D25" s="67">
        <f>(Model!V177-Model!AA177)+(Model!V178-Model!AA178)+(Model!V180-Model!AA180)+(Model!AA193-Model!V193)+(Model!AA195-Model!V195)</f>
        <v>-163.99061623076966</v>
      </c>
      <c r="E25" s="67">
        <f>(Model!AA177-Model!AF177)+(Model!AA178-Model!AF178)+(Model!AA180-Model!AF180)+(Model!AF193-Model!AA193)+(Model!AF195-Model!AA195)</f>
        <v>-58.399250709170232</v>
      </c>
      <c r="F25" s="67">
        <f>(Model!AF177-Model!AK177)+(Model!AF178-Model!AK178)+(Model!AF180-Model!AK180)+(Model!AK193-Model!AF193)+(Model!AK195-Model!AF195)</f>
        <v>-60.236359971921445</v>
      </c>
      <c r="G25" s="67">
        <f>(Model!AK177-Model!AL177)+(Model!AK178-Model!AL178)+(Model!AK180-Model!AL180)+(Model!AL193-Model!AK193)+(Model!AL195-Model!AK195)</f>
        <v>-30.446160645151522</v>
      </c>
      <c r="H25" s="66">
        <f>(Model!AL177-Model!AM177)+(Model!AL178-Model!AM178)+(Model!AL180-Model!AM180)+(Model!AM193-Model!AL193)+(Model!AM195-Model!AL195)</f>
        <v>-33.49077670966642</v>
      </c>
      <c r="I25" s="299">
        <f>H25</f>
        <v>-33.49077670966642</v>
      </c>
    </row>
    <row r="26" spans="2:9" ht="15" x14ac:dyDescent="0.25">
      <c r="B26" s="69" t="s">
        <v>365</v>
      </c>
      <c r="C26" s="70">
        <f t="shared" ref="C26:H26" si="4">C19+SUM(C22:C25)</f>
        <v>163.05511999999999</v>
      </c>
      <c r="D26" s="71">
        <f t="shared" si="4"/>
        <v>73.536691579885826</v>
      </c>
      <c r="E26" s="71">
        <f t="shared" si="4"/>
        <v>291.78823138988173</v>
      </c>
      <c r="F26" s="71">
        <f t="shared" si="4"/>
        <v>323.6306422738553</v>
      </c>
      <c r="G26" s="71">
        <f t="shared" si="4"/>
        <v>366.59399568993297</v>
      </c>
      <c r="H26" s="70">
        <f t="shared" si="4"/>
        <v>378.03984912365661</v>
      </c>
      <c r="I26" s="300">
        <f>I19+SUM(I22:I25)</f>
        <v>378.03984912365661</v>
      </c>
    </row>
    <row r="27" spans="2:9" ht="15" x14ac:dyDescent="0.25">
      <c r="B27" s="209" t="s">
        <v>418</v>
      </c>
      <c r="C27" s="210">
        <f>C26</f>
        <v>163.05511999999999</v>
      </c>
      <c r="D27" s="211">
        <f>D26*C5</f>
        <v>55.152518684914369</v>
      </c>
      <c r="E27" s="211">
        <f>E26</f>
        <v>291.78823138988173</v>
      </c>
      <c r="F27" s="211">
        <f t="shared" ref="F27:J27" si="5">F26</f>
        <v>323.6306422738553</v>
      </c>
      <c r="G27" s="211">
        <f t="shared" si="5"/>
        <v>366.59399568993297</v>
      </c>
      <c r="H27" s="210">
        <f t="shared" si="5"/>
        <v>378.03984912365661</v>
      </c>
      <c r="I27" s="301">
        <f>I26</f>
        <v>378.03984912365661</v>
      </c>
    </row>
    <row r="28" spans="2:9" ht="15" x14ac:dyDescent="0.25">
      <c r="B28" s="209"/>
      <c r="C28" s="210"/>
      <c r="D28" s="211"/>
      <c r="E28" s="211"/>
      <c r="F28" s="211"/>
      <c r="G28" s="211"/>
      <c r="H28" s="210"/>
      <c r="I28" s="301"/>
    </row>
    <row r="29" spans="2:9" x14ac:dyDescent="0.2">
      <c r="B29" s="72" t="s">
        <v>366</v>
      </c>
      <c r="C29" s="73"/>
      <c r="D29" s="74">
        <f>C5/2</f>
        <v>0.375</v>
      </c>
      <c r="E29" s="74">
        <f>D29+1</f>
        <v>1.375</v>
      </c>
      <c r="F29" s="74">
        <f>E29+1</f>
        <v>2.375</v>
      </c>
      <c r="G29" s="74">
        <f>F29+1</f>
        <v>3.375</v>
      </c>
      <c r="H29" s="75">
        <f>G29+1</f>
        <v>4.375</v>
      </c>
      <c r="I29" s="302">
        <f>H29</f>
        <v>4.375</v>
      </c>
    </row>
    <row r="30" spans="2:9" x14ac:dyDescent="0.2">
      <c r="B30" s="72" t="s">
        <v>367</v>
      </c>
      <c r="C30" s="76"/>
      <c r="D30" s="74">
        <f t="shared" ref="D30:H30" si="6">1/(1+$D$35)^D29</f>
        <v>0.96819996648686935</v>
      </c>
      <c r="E30" s="74">
        <f t="shared" si="6"/>
        <v>0.88825684998795351</v>
      </c>
      <c r="F30" s="74">
        <f t="shared" si="6"/>
        <v>0.81491454127335172</v>
      </c>
      <c r="G30" s="74">
        <f t="shared" si="6"/>
        <v>0.74762801951683655</v>
      </c>
      <c r="H30" s="75">
        <f t="shared" si="6"/>
        <v>0.68589726561177655</v>
      </c>
      <c r="I30" s="302">
        <f>1/(1+$D$35)^I29</f>
        <v>0.68589726561177655</v>
      </c>
    </row>
    <row r="31" spans="2:9" x14ac:dyDescent="0.2">
      <c r="B31" s="77" t="s">
        <v>368</v>
      </c>
      <c r="C31" s="78"/>
      <c r="D31" s="79">
        <f>D30*D27</f>
        <v>53.398666742400529</v>
      </c>
      <c r="E31" s="79">
        <f t="shared" ref="E31:H31" si="7">E30*E27</f>
        <v>259.18289527793246</v>
      </c>
      <c r="F31" s="79">
        <f t="shared" si="7"/>
        <v>263.73131639059898</v>
      </c>
      <c r="G31" s="79">
        <f t="shared" si="7"/>
        <v>274.07594296442829</v>
      </c>
      <c r="H31" s="80">
        <f t="shared" si="7"/>
        <v>259.29649880620462</v>
      </c>
      <c r="I31" s="303"/>
    </row>
    <row r="34" spans="2:4" ht="15" x14ac:dyDescent="0.25">
      <c r="B34" s="52" t="s">
        <v>369</v>
      </c>
      <c r="C34" s="81"/>
      <c r="D34" s="81"/>
    </row>
    <row r="35" spans="2:4" x14ac:dyDescent="0.2">
      <c r="B35" s="51" t="s">
        <v>370</v>
      </c>
      <c r="D35" s="307">
        <f>C8</f>
        <v>0.09</v>
      </c>
    </row>
    <row r="36" spans="2:4" x14ac:dyDescent="0.2">
      <c r="B36" s="51" t="s">
        <v>371</v>
      </c>
      <c r="D36" s="307">
        <f>C9</f>
        <v>3.5000000000000003E-2</v>
      </c>
    </row>
    <row r="37" spans="2:4" ht="3.75" customHeight="1" x14ac:dyDescent="0.2"/>
    <row r="38" spans="2:4" x14ac:dyDescent="0.2">
      <c r="B38" s="51" t="s">
        <v>372</v>
      </c>
      <c r="D38" s="83">
        <f>I30</f>
        <v>0.68589726561177655</v>
      </c>
    </row>
    <row r="39" spans="2:4" x14ac:dyDescent="0.2">
      <c r="B39" s="51" t="s">
        <v>373</v>
      </c>
      <c r="D39" s="84">
        <f>I26</f>
        <v>378.03984912365661</v>
      </c>
    </row>
    <row r="40" spans="2:4" ht="15" x14ac:dyDescent="0.25">
      <c r="B40" s="85" t="s">
        <v>374</v>
      </c>
      <c r="C40" s="85"/>
      <c r="D40" s="86">
        <f>(D39*(1+D36)/(D35-D36))</f>
        <v>7114.0226153269932</v>
      </c>
    </row>
    <row r="41" spans="2:4" ht="3.75" customHeight="1" x14ac:dyDescent="0.2"/>
    <row r="42" spans="2:4" x14ac:dyDescent="0.2">
      <c r="B42" s="51" t="s">
        <v>375</v>
      </c>
      <c r="D42" s="84">
        <f>SUM(D31:H31)</f>
        <v>1109.685320181565</v>
      </c>
    </row>
    <row r="43" spans="2:4" x14ac:dyDescent="0.2">
      <c r="B43" s="51" t="s">
        <v>376</v>
      </c>
      <c r="D43" s="84">
        <f>D40*D38</f>
        <v>4879.4886593531237</v>
      </c>
    </row>
    <row r="44" spans="2:4" ht="15" x14ac:dyDescent="0.25">
      <c r="B44" s="87" t="s">
        <v>377</v>
      </c>
      <c r="C44" s="52"/>
      <c r="D44" s="88">
        <f>SUM(D42:D43)</f>
        <v>5989.1739795346884</v>
      </c>
    </row>
    <row r="45" spans="2:4" ht="3.75" customHeight="1" x14ac:dyDescent="0.2"/>
    <row r="46" spans="2:4" x14ac:dyDescent="0.2">
      <c r="B46" s="51" t="s">
        <v>378</v>
      </c>
      <c r="D46" s="84">
        <f>TSM!L17+TSM!L19</f>
        <v>625.78499999999997</v>
      </c>
    </row>
    <row r="47" spans="2:4" ht="15" x14ac:dyDescent="0.25">
      <c r="B47" s="87" t="s">
        <v>379</v>
      </c>
      <c r="C47" s="52"/>
      <c r="D47" s="88">
        <f>D44-D46</f>
        <v>5363.3889795346886</v>
      </c>
    </row>
    <row r="48" spans="2:4" ht="3.75" customHeight="1" x14ac:dyDescent="0.2"/>
    <row r="49" spans="2:9" x14ac:dyDescent="0.2">
      <c r="B49" s="51" t="s">
        <v>380</v>
      </c>
      <c r="D49" s="84">
        <f>TSM!G20</f>
        <v>61.39017682588598</v>
      </c>
    </row>
    <row r="50" spans="2:9" ht="15" x14ac:dyDescent="0.25">
      <c r="B50" s="87" t="s">
        <v>381</v>
      </c>
      <c r="C50" s="52"/>
      <c r="D50" s="89">
        <f>D47/D49</f>
        <v>87.365589363690262</v>
      </c>
    </row>
    <row r="51" spans="2:9" ht="3.75" customHeight="1" x14ac:dyDescent="0.25">
      <c r="B51" s="85"/>
      <c r="C51" s="85"/>
      <c r="D51" s="90"/>
    </row>
    <row r="52" spans="2:9" x14ac:dyDescent="0.2">
      <c r="B52" s="51" t="s">
        <v>382</v>
      </c>
      <c r="D52" s="246">
        <f>TSM!C6</f>
        <v>103.84</v>
      </c>
    </row>
    <row r="53" spans="2:9" x14ac:dyDescent="0.2">
      <c r="B53" s="91" t="s">
        <v>383</v>
      </c>
      <c r="C53" s="92"/>
      <c r="D53" s="93">
        <f>D50/D52-1</f>
        <v>-0.15865187438665007</v>
      </c>
    </row>
    <row r="54" spans="2:9" ht="3.75" customHeight="1" x14ac:dyDescent="0.2"/>
    <row r="55" spans="2:9" ht="15" x14ac:dyDescent="0.25">
      <c r="B55" s="94" t="s">
        <v>384</v>
      </c>
      <c r="C55" s="94"/>
      <c r="D55" s="94"/>
    </row>
    <row r="56" spans="2:9" x14ac:dyDescent="0.2">
      <c r="B56" s="51" t="s">
        <v>385</v>
      </c>
      <c r="D56" s="95">
        <f>+D40*(1+D35)^(0.5)</f>
        <v>7427.2576615335265</v>
      </c>
    </row>
    <row r="57" spans="2:9" x14ac:dyDescent="0.2">
      <c r="B57" s="51" t="s">
        <v>386</v>
      </c>
      <c r="D57" s="96">
        <f>I19+I22</f>
        <v>571.66676695054923</v>
      </c>
    </row>
    <row r="58" spans="2:9" x14ac:dyDescent="0.2">
      <c r="B58" s="51" t="s">
        <v>387</v>
      </c>
      <c r="D58" s="97">
        <f>D56/D57</f>
        <v>12.992285175422843</v>
      </c>
    </row>
    <row r="61" spans="2:9" ht="15" x14ac:dyDescent="0.25">
      <c r="B61" s="50" t="s">
        <v>598</v>
      </c>
      <c r="C61" s="50"/>
      <c r="D61" s="50"/>
      <c r="E61" s="50"/>
      <c r="F61" s="50"/>
      <c r="G61" s="50"/>
      <c r="H61" s="50"/>
      <c r="I61" s="50"/>
    </row>
    <row r="65" spans="2:12" ht="15" x14ac:dyDescent="0.25">
      <c r="B65" s="52" t="s">
        <v>596</v>
      </c>
      <c r="C65" s="81"/>
      <c r="D65" s="81"/>
      <c r="E65" s="81"/>
      <c r="F65" s="81"/>
      <c r="G65" s="81"/>
      <c r="H65" s="81"/>
      <c r="I65" s="81"/>
    </row>
    <row r="67" spans="2:12" x14ac:dyDescent="0.2">
      <c r="B67" s="98" t="s">
        <v>388</v>
      </c>
      <c r="C67" s="68"/>
      <c r="D67" s="68"/>
      <c r="E67" s="68"/>
      <c r="F67" s="68"/>
      <c r="G67" s="68"/>
      <c r="H67" s="68"/>
      <c r="L67" s="51" t="s">
        <v>484</v>
      </c>
    </row>
    <row r="68" spans="2:12" ht="15" x14ac:dyDescent="0.25">
      <c r="B68" s="99"/>
      <c r="C68" s="100"/>
      <c r="D68" s="101" t="s">
        <v>483</v>
      </c>
      <c r="E68" s="101"/>
      <c r="F68" s="101"/>
      <c r="G68" s="101"/>
      <c r="H68" s="101"/>
      <c r="L68" s="274">
        <v>100</v>
      </c>
    </row>
    <row r="69" spans="2:12" ht="15" x14ac:dyDescent="0.25">
      <c r="B69" s="102"/>
      <c r="C69" s="103">
        <f>D50</f>
        <v>87.365589363690262</v>
      </c>
      <c r="D69" s="273">
        <f>E69-50</f>
        <v>0</v>
      </c>
      <c r="E69" s="273">
        <f>F69-50</f>
        <v>50</v>
      </c>
      <c r="F69" s="275">
        <v>100</v>
      </c>
      <c r="G69" s="273">
        <f>F69+50</f>
        <v>150</v>
      </c>
      <c r="H69" s="273">
        <f>G69+50</f>
        <v>200</v>
      </c>
      <c r="I69" s="106"/>
    </row>
    <row r="70" spans="2:12" ht="15" x14ac:dyDescent="0.25">
      <c r="B70" s="110" t="s">
        <v>161</v>
      </c>
      <c r="C70" s="272">
        <f>C71-100</f>
        <v>0</v>
      </c>
      <c r="D70" s="109">
        <f t="dataTable" ref="D70:H74" dt2D="1" dtr="1" r1="L68" r2="L71"/>
        <v>54.294093265964079</v>
      </c>
      <c r="E70" s="109">
        <v>63.680092415949055</v>
      </c>
      <c r="F70" s="109">
        <v>73.06609156593403</v>
      </c>
      <c r="G70" s="109">
        <v>82.452090715918985</v>
      </c>
      <c r="H70" s="109">
        <v>91.838089865903882</v>
      </c>
      <c r="L70" s="51" t="s">
        <v>485</v>
      </c>
    </row>
    <row r="71" spans="2:12" ht="15" x14ac:dyDescent="0.25">
      <c r="B71" s="110" t="s">
        <v>481</v>
      </c>
      <c r="C71" s="272">
        <f>C72-100</f>
        <v>100</v>
      </c>
      <c r="D71" s="111">
        <v>61.443842164842202</v>
      </c>
      <c r="E71" s="111">
        <v>70.829841314827178</v>
      </c>
      <c r="F71" s="111">
        <v>80.215840464812146</v>
      </c>
      <c r="G71" s="111">
        <v>89.6018396147971</v>
      </c>
      <c r="H71" s="111">
        <v>98.98783876478204</v>
      </c>
      <c r="L71" s="274">
        <v>200</v>
      </c>
    </row>
    <row r="72" spans="2:12" ht="15" x14ac:dyDescent="0.25">
      <c r="B72" s="110" t="s">
        <v>482</v>
      </c>
      <c r="C72" s="272">
        <v>200</v>
      </c>
      <c r="D72" s="111">
        <v>68.593591063720325</v>
      </c>
      <c r="E72" s="111">
        <v>77.979590213705322</v>
      </c>
      <c r="F72" s="276">
        <v>87.365589363690262</v>
      </c>
      <c r="G72" s="111">
        <v>96.751588513675216</v>
      </c>
      <c r="H72" s="111">
        <v>106.13758766366014</v>
      </c>
    </row>
    <row r="73" spans="2:12" ht="15" x14ac:dyDescent="0.25">
      <c r="B73" s="107"/>
      <c r="C73" s="272">
        <f>C72+100</f>
        <v>300</v>
      </c>
      <c r="D73" s="111">
        <v>75.743339962598441</v>
      </c>
      <c r="E73" s="111">
        <v>85.129339112583423</v>
      </c>
      <c r="F73" s="111">
        <v>94.515338262568378</v>
      </c>
      <c r="G73" s="111">
        <v>103.90133741255336</v>
      </c>
      <c r="H73" s="111">
        <v>113.28733656253827</v>
      </c>
    </row>
    <row r="74" spans="2:12" ht="15" x14ac:dyDescent="0.25">
      <c r="B74" s="107"/>
      <c r="C74" s="272">
        <f>C73+100</f>
        <v>400</v>
      </c>
      <c r="D74" s="111">
        <v>82.893088861476556</v>
      </c>
      <c r="E74" s="111">
        <v>92.279088011461539</v>
      </c>
      <c r="F74" s="111">
        <v>101.66508716144651</v>
      </c>
      <c r="G74" s="111">
        <v>111.05108631143148</v>
      </c>
      <c r="H74" s="111">
        <v>120.43708546141639</v>
      </c>
    </row>
    <row r="77" spans="2:12" x14ac:dyDescent="0.2">
      <c r="B77" s="98" t="s">
        <v>391</v>
      </c>
      <c r="C77" s="68"/>
      <c r="D77" s="68"/>
      <c r="E77" s="68"/>
      <c r="F77" s="68"/>
      <c r="G77" s="68"/>
      <c r="H77" s="68"/>
    </row>
    <row r="78" spans="2:12" ht="15" x14ac:dyDescent="0.25">
      <c r="B78" s="99"/>
      <c r="C78" s="100"/>
      <c r="D78" s="101" t="s">
        <v>483</v>
      </c>
      <c r="E78" s="101"/>
      <c r="F78" s="101"/>
      <c r="G78" s="101"/>
      <c r="H78" s="101"/>
    </row>
    <row r="79" spans="2:12" ht="15" x14ac:dyDescent="0.25">
      <c r="B79" s="102"/>
      <c r="C79" s="112"/>
      <c r="D79" s="273">
        <f>E79-50</f>
        <v>0</v>
      </c>
      <c r="E79" s="273">
        <f>F79-50</f>
        <v>50</v>
      </c>
      <c r="F79" s="275">
        <v>100</v>
      </c>
      <c r="G79" s="273">
        <f>F79+50</f>
        <v>150</v>
      </c>
      <c r="H79" s="273">
        <f>G79+50</f>
        <v>200</v>
      </c>
    </row>
    <row r="80" spans="2:12" ht="15" x14ac:dyDescent="0.25">
      <c r="B80" s="110" t="s">
        <v>161</v>
      </c>
      <c r="C80" s="272">
        <f>C81-100</f>
        <v>0</v>
      </c>
      <c r="D80" s="113">
        <f>D70/$D$52-1</f>
        <v>-0.47713700629849698</v>
      </c>
      <c r="E80" s="113">
        <f>E70/$D$52-1</f>
        <v>-0.38674795439186194</v>
      </c>
      <c r="F80" s="113">
        <f>F70/$D$52-1</f>
        <v>-0.296358902485227</v>
      </c>
      <c r="G80" s="113">
        <f>G70/$D$52-1</f>
        <v>-0.20596985057859218</v>
      </c>
      <c r="H80" s="113">
        <f>H70/$D$52-1</f>
        <v>-0.11558079867195803</v>
      </c>
    </row>
    <row r="81" spans="2:9" ht="15" x14ac:dyDescent="0.25">
      <c r="B81" s="110" t="s">
        <v>481</v>
      </c>
      <c r="C81" s="272">
        <f>C82-100</f>
        <v>100</v>
      </c>
      <c r="D81" s="113">
        <f>D71/$D$52-1</f>
        <v>-0.40828349224920835</v>
      </c>
      <c r="E81" s="113">
        <f>E71/$D$52-1</f>
        <v>-0.31789444034257341</v>
      </c>
      <c r="F81" s="113">
        <f>F71/$D$52-1</f>
        <v>-0.22750538843593848</v>
      </c>
      <c r="G81" s="113">
        <f>G71/$D$52-1</f>
        <v>-0.13711633652930377</v>
      </c>
      <c r="H81" s="113">
        <f>H71/$D$52-1</f>
        <v>-4.6727284622669174E-2</v>
      </c>
    </row>
    <row r="82" spans="2:9" ht="15" x14ac:dyDescent="0.25">
      <c r="B82" s="110" t="s">
        <v>482</v>
      </c>
      <c r="C82" s="272">
        <v>200</v>
      </c>
      <c r="D82" s="113">
        <f>D72/$D$52-1</f>
        <v>-0.33942997819991982</v>
      </c>
      <c r="E82" s="113">
        <f>E72/$D$52-1</f>
        <v>-0.24904092629328467</v>
      </c>
      <c r="F82" s="277">
        <f>F72/$D$52-1</f>
        <v>-0.15865187438665007</v>
      </c>
      <c r="G82" s="113">
        <f>G72/$D$52-1</f>
        <v>-6.8262822480015251E-2</v>
      </c>
      <c r="H82" s="113">
        <f>H72/$D$52-1</f>
        <v>2.2126229426619126E-2</v>
      </c>
    </row>
    <row r="83" spans="2:9" ht="15" x14ac:dyDescent="0.25">
      <c r="B83" s="107"/>
      <c r="C83" s="272">
        <f>C82+100</f>
        <v>300</v>
      </c>
      <c r="D83" s="113">
        <f>D73/$D$52-1</f>
        <v>-0.27057646415063141</v>
      </c>
      <c r="E83" s="113">
        <f>E73/$D$52-1</f>
        <v>-0.18018741224399637</v>
      </c>
      <c r="F83" s="113">
        <f>F73/$D$52-1</f>
        <v>-8.9798360337361549E-2</v>
      </c>
      <c r="G83" s="113">
        <f>G73/$D$52-1</f>
        <v>5.9069156927349376E-4</v>
      </c>
      <c r="H83" s="113">
        <f>H73/$D$52-1</f>
        <v>9.097974347590787E-2</v>
      </c>
    </row>
    <row r="84" spans="2:9" ht="15" x14ac:dyDescent="0.25">
      <c r="B84" s="107"/>
      <c r="C84" s="272">
        <f>C83+100</f>
        <v>400</v>
      </c>
      <c r="D84" s="113">
        <f>D74/$D$52-1</f>
        <v>-0.20172295010134289</v>
      </c>
      <c r="E84" s="113">
        <f>E74/$D$52-1</f>
        <v>-0.11133389819470785</v>
      </c>
      <c r="F84" s="113">
        <f>F74/$D$52-1</f>
        <v>-2.0944846288072916E-2</v>
      </c>
      <c r="G84" s="113">
        <f>G74/$D$52-1</f>
        <v>6.9444205618562016E-2</v>
      </c>
      <c r="H84" s="113">
        <f>H74/$D$52-1</f>
        <v>0.15983325752519639</v>
      </c>
    </row>
    <row r="89" spans="2:9" ht="15" x14ac:dyDescent="0.25">
      <c r="B89" s="52" t="s">
        <v>597</v>
      </c>
      <c r="C89" s="81"/>
      <c r="D89" s="81"/>
      <c r="E89" s="81"/>
      <c r="F89" s="81"/>
      <c r="G89" s="81"/>
      <c r="H89" s="81"/>
      <c r="I89" s="81"/>
    </row>
    <row r="91" spans="2:9" x14ac:dyDescent="0.2">
      <c r="B91" s="98" t="s">
        <v>388</v>
      </c>
      <c r="C91" s="68"/>
      <c r="D91" s="68"/>
      <c r="E91" s="68"/>
      <c r="F91" s="68"/>
      <c r="G91" s="68"/>
      <c r="H91" s="68"/>
    </row>
    <row r="92" spans="2:9" ht="15" x14ac:dyDescent="0.25">
      <c r="B92" s="99"/>
      <c r="C92" s="100"/>
      <c r="D92" s="101" t="s">
        <v>371</v>
      </c>
      <c r="E92" s="101"/>
      <c r="F92" s="101"/>
      <c r="G92" s="101"/>
      <c r="H92" s="101"/>
    </row>
    <row r="93" spans="2:9" ht="15" x14ac:dyDescent="0.25">
      <c r="B93" s="102"/>
      <c r="C93" s="103">
        <f>D50</f>
        <v>87.365589363690262</v>
      </c>
      <c r="D93" s="104">
        <f>E93-0.25%</f>
        <v>3.0000000000000002E-2</v>
      </c>
      <c r="E93" s="104">
        <f>F93-0.25%</f>
        <v>3.2500000000000001E-2</v>
      </c>
      <c r="F93" s="105">
        <v>3.5000000000000003E-2</v>
      </c>
      <c r="G93" s="104">
        <f>F93+0.25%</f>
        <v>3.7500000000000006E-2</v>
      </c>
      <c r="H93" s="104">
        <f>G93+0.25%</f>
        <v>4.0000000000000008E-2</v>
      </c>
      <c r="I93" s="106"/>
    </row>
    <row r="94" spans="2:9" ht="15" x14ac:dyDescent="0.25">
      <c r="B94" s="107"/>
      <c r="C94" s="108">
        <f>C95-0.25%</f>
        <v>8.4999999999999992E-2</v>
      </c>
      <c r="D94" s="109">
        <f t="dataTable" ref="D94:H98" dt2D="1" dtr="1" r1="C9" r2="C8" ca="1"/>
        <v>88.819882876095392</v>
      </c>
      <c r="E94" s="109">
        <v>92.868263580716615</v>
      </c>
      <c r="F94" s="109">
        <v>97.321482355799972</v>
      </c>
      <c r="G94" s="109">
        <v>102.24346100194475</v>
      </c>
      <c r="H94" s="109">
        <v>107.71232616432781</v>
      </c>
    </row>
    <row r="95" spans="2:9" ht="15" x14ac:dyDescent="0.25">
      <c r="B95" s="110" t="s">
        <v>389</v>
      </c>
      <c r="C95" s="108">
        <f>C96-0.25%</f>
        <v>8.7499999999999994E-2</v>
      </c>
      <c r="D95" s="111">
        <v>84.421392734369633</v>
      </c>
      <c r="E95" s="111">
        <v>88.08913998197545</v>
      </c>
      <c r="F95" s="111">
        <v>92.106196491258018</v>
      </c>
      <c r="G95" s="111">
        <v>96.52495865146885</v>
      </c>
      <c r="H95" s="111">
        <v>101.40885367064925</v>
      </c>
    </row>
    <row r="96" spans="2:9" ht="15" x14ac:dyDescent="0.25">
      <c r="B96" s="110" t="s">
        <v>390</v>
      </c>
      <c r="C96" s="108">
        <v>0.09</v>
      </c>
      <c r="D96" s="111">
        <v>80.390009252106239</v>
      </c>
      <c r="E96" s="111">
        <v>83.726156261994248</v>
      </c>
      <c r="F96" s="111">
        <v>87.365589363690262</v>
      </c>
      <c r="G96" s="111">
        <v>91.351635141738313</v>
      </c>
      <c r="H96" s="111">
        <v>95.736285497591126</v>
      </c>
    </row>
    <row r="97" spans="2:8" ht="15" x14ac:dyDescent="0.25">
      <c r="B97" s="107"/>
      <c r="C97" s="108">
        <f>C96+0.25%</f>
        <v>9.2499999999999999E-2</v>
      </c>
      <c r="D97" s="111">
        <v>76.68167500425335</v>
      </c>
      <c r="E97" s="111">
        <v>79.727290396961592</v>
      </c>
      <c r="F97" s="111">
        <v>83.03774191077494</v>
      </c>
      <c r="G97" s="111">
        <v>86.649143562207669</v>
      </c>
      <c r="H97" s="111">
        <v>90.604488228062564</v>
      </c>
    </row>
    <row r="98" spans="2:8" ht="15" x14ac:dyDescent="0.25">
      <c r="B98" s="107"/>
      <c r="C98" s="108">
        <f>C97+0.25%</f>
        <v>9.5000000000000001E-2</v>
      </c>
      <c r="D98" s="111">
        <v>73.259110680822673</v>
      </c>
      <c r="E98" s="111">
        <v>76.048843934907566</v>
      </c>
      <c r="F98" s="111">
        <v>79.071054960166208</v>
      </c>
      <c r="G98" s="111">
        <v>82.356066944143024</v>
      </c>
      <c r="H98" s="111">
        <v>85.93971638120864</v>
      </c>
    </row>
    <row r="101" spans="2:8" x14ac:dyDescent="0.2">
      <c r="B101" s="98" t="s">
        <v>391</v>
      </c>
      <c r="C101" s="68"/>
      <c r="D101" s="68"/>
      <c r="E101" s="68"/>
      <c r="F101" s="68"/>
      <c r="G101" s="68"/>
      <c r="H101" s="68"/>
    </row>
    <row r="102" spans="2:8" ht="15" x14ac:dyDescent="0.25">
      <c r="B102" s="99"/>
      <c r="C102" s="100"/>
      <c r="D102" s="101" t="s">
        <v>371</v>
      </c>
      <c r="E102" s="101"/>
      <c r="F102" s="101"/>
      <c r="G102" s="101"/>
      <c r="H102" s="101"/>
    </row>
    <row r="103" spans="2:8" ht="15" x14ac:dyDescent="0.25">
      <c r="B103" s="102"/>
      <c r="C103" s="112"/>
      <c r="D103" s="104">
        <f>E103-0.25%</f>
        <v>3.0000000000000002E-2</v>
      </c>
      <c r="E103" s="104">
        <f>F103-0.25%</f>
        <v>3.2500000000000001E-2</v>
      </c>
      <c r="F103" s="105">
        <v>3.5000000000000003E-2</v>
      </c>
      <c r="G103" s="104">
        <f>F103+0.25%</f>
        <v>3.7500000000000006E-2</v>
      </c>
      <c r="H103" s="104">
        <f>G103+0.25%</f>
        <v>4.0000000000000008E-2</v>
      </c>
    </row>
    <row r="104" spans="2:8" ht="15" x14ac:dyDescent="0.25">
      <c r="B104" s="107"/>
      <c r="C104" s="108">
        <f>C105-0.25%</f>
        <v>8.4999999999999992E-2</v>
      </c>
      <c r="D104" s="113">
        <f t="shared" ref="D104:H108" si="8">D94/$D$52-1</f>
        <v>-0.14464673655532179</v>
      </c>
      <c r="E104" s="113">
        <f t="shared" si="8"/>
        <v>-0.10566001944610348</v>
      </c>
      <c r="F104" s="113">
        <f t="shared" si="8"/>
        <v>-6.2774630625963335E-2</v>
      </c>
      <c r="G104" s="113">
        <f t="shared" si="8"/>
        <v>-1.5374990351071371E-2</v>
      </c>
      <c r="H104" s="113">
        <f t="shared" si="8"/>
        <v>3.7291276621030489E-2</v>
      </c>
    </row>
    <row r="105" spans="2:8" ht="15" x14ac:dyDescent="0.25">
      <c r="B105" s="110" t="s">
        <v>389</v>
      </c>
      <c r="C105" s="108">
        <f>C106-0.25%</f>
        <v>8.7499999999999994E-2</v>
      </c>
      <c r="D105" s="113">
        <f t="shared" si="8"/>
        <v>-0.18700507767363606</v>
      </c>
      <c r="E105" s="113">
        <f t="shared" si="8"/>
        <v>-0.15168393699946603</v>
      </c>
      <c r="F105" s="113">
        <f t="shared" si="8"/>
        <v>-0.11299887816585119</v>
      </c>
      <c r="G105" s="113">
        <f t="shared" si="8"/>
        <v>-7.0445313448874725E-2</v>
      </c>
      <c r="H105" s="113">
        <f t="shared" si="8"/>
        <v>-2.3412426130111297E-2</v>
      </c>
    </row>
    <row r="106" spans="2:8" ht="15" x14ac:dyDescent="0.25">
      <c r="B106" s="110" t="s">
        <v>390</v>
      </c>
      <c r="C106" s="108">
        <v>0.09</v>
      </c>
      <c r="D106" s="113">
        <f t="shared" si="8"/>
        <v>-0.22582810812686593</v>
      </c>
      <c r="E106" s="113">
        <f t="shared" si="8"/>
        <v>-0.19370034416415405</v>
      </c>
      <c r="F106" s="113">
        <f t="shared" si="8"/>
        <v>-0.15865187438665007</v>
      </c>
      <c r="G106" s="113">
        <f t="shared" si="8"/>
        <v>-0.12026545510652631</v>
      </c>
      <c r="H106" s="113">
        <f t="shared" si="8"/>
        <v>-7.804039389839057E-2</v>
      </c>
    </row>
    <row r="107" spans="2:8" ht="15" x14ac:dyDescent="0.25">
      <c r="B107" s="107"/>
      <c r="C107" s="108">
        <f>C106+0.25%</f>
        <v>9.2499999999999999E-2</v>
      </c>
      <c r="D107" s="113">
        <f t="shared" si="8"/>
        <v>-0.26154010974332298</v>
      </c>
      <c r="E107" s="113">
        <f t="shared" si="8"/>
        <v>-0.2322102234499076</v>
      </c>
      <c r="F107" s="113">
        <f t="shared" si="8"/>
        <v>-0.20032991226141239</v>
      </c>
      <c r="G107" s="113">
        <f t="shared" si="8"/>
        <v>-0.16555139096487226</v>
      </c>
      <c r="H107" s="113">
        <f t="shared" si="8"/>
        <v>-0.12746062954485204</v>
      </c>
    </row>
    <row r="108" spans="2:8" ht="15" x14ac:dyDescent="0.25">
      <c r="B108" s="107"/>
      <c r="C108" s="108">
        <f>C107+0.25%</f>
        <v>9.5000000000000001E-2</v>
      </c>
      <c r="D108" s="113">
        <f t="shared" si="8"/>
        <v>-0.29450008974554442</v>
      </c>
      <c r="E108" s="113">
        <f t="shared" si="8"/>
        <v>-0.26763439970235392</v>
      </c>
      <c r="F108" s="113">
        <f t="shared" si="8"/>
        <v>-0.23852990215556424</v>
      </c>
      <c r="G108" s="113">
        <f t="shared" si="8"/>
        <v>-0.20689457873514039</v>
      </c>
      <c r="H108" s="113">
        <f t="shared" si="8"/>
        <v>-0.17238331682195074</v>
      </c>
    </row>
  </sheetData>
  <conditionalFormatting sqref="D53">
    <cfRule type="cellIs" dxfId="0" priority="1" operator="lessThan">
      <formula>0</formula>
    </cfRule>
  </conditionalFormatting>
  <pageMargins left="0.7" right="0.7" top="0.75" bottom="0.75" header="0.3" footer="0.3"/>
  <pageSetup orientation="portrait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33453-3D98-4409-9AF0-D9B62392E307}">
  <sheetPr>
    <tabColor theme="1"/>
  </sheetPr>
  <dimension ref="B3:U28"/>
  <sheetViews>
    <sheetView showGridLines="0" zoomScale="85" zoomScaleNormal="85" workbookViewId="0"/>
  </sheetViews>
  <sheetFormatPr defaultRowHeight="14.25" x14ac:dyDescent="0.2"/>
  <cols>
    <col min="1" max="1" width="9.140625" style="51"/>
    <col min="2" max="2" width="16.140625" style="51" customWidth="1"/>
    <col min="3" max="3" width="11.28515625" style="51" bestFit="1" customWidth="1"/>
    <col min="4" max="6" width="9.140625" style="51"/>
    <col min="7" max="7" width="10.7109375" style="51" bestFit="1" customWidth="1"/>
    <col min="8" max="8" width="10.7109375" style="51" customWidth="1"/>
    <col min="9" max="9" width="17.5703125" style="51" customWidth="1"/>
    <col min="10" max="11" width="9.140625" style="51"/>
    <col min="12" max="12" width="12.85546875" style="51" bestFit="1" customWidth="1"/>
    <col min="13" max="15" width="9.140625" style="51"/>
    <col min="16" max="16" width="10.140625" style="51" bestFit="1" customWidth="1"/>
    <col min="17" max="16384" width="9.140625" style="51"/>
  </cols>
  <sheetData>
    <row r="3" spans="2:20" ht="15" x14ac:dyDescent="0.25">
      <c r="B3" s="50" t="s">
        <v>440</v>
      </c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</row>
    <row r="5" spans="2:20" x14ac:dyDescent="0.2">
      <c r="B5" s="51" t="s">
        <v>420</v>
      </c>
      <c r="C5" s="317" t="s">
        <v>439</v>
      </c>
    </row>
    <row r="6" spans="2:20" x14ac:dyDescent="0.2">
      <c r="B6" s="51" t="s">
        <v>421</v>
      </c>
      <c r="C6" s="318">
        <v>103.84</v>
      </c>
    </row>
    <row r="7" spans="2:20" x14ac:dyDescent="0.2">
      <c r="B7" s="51" t="s">
        <v>422</v>
      </c>
      <c r="C7" s="316">
        <v>44960</v>
      </c>
    </row>
    <row r="8" spans="2:20" x14ac:dyDescent="0.2">
      <c r="B8" s="51" t="s">
        <v>149</v>
      </c>
      <c r="C8" s="319">
        <v>59.728490000000001</v>
      </c>
    </row>
    <row r="10" spans="2:20" ht="15" thickBot="1" x14ac:dyDescent="0.25"/>
    <row r="11" spans="2:20" ht="15" x14ac:dyDescent="0.25">
      <c r="B11" s="214"/>
      <c r="C11" s="215"/>
      <c r="D11" s="216" t="s">
        <v>423</v>
      </c>
      <c r="E11" s="216" t="s">
        <v>424</v>
      </c>
      <c r="F11" s="216" t="s">
        <v>425</v>
      </c>
      <c r="G11" s="217" t="s">
        <v>426</v>
      </c>
      <c r="I11" s="52" t="s">
        <v>427</v>
      </c>
      <c r="J11" s="81"/>
      <c r="K11" s="81"/>
      <c r="L11" s="218"/>
    </row>
    <row r="12" spans="2:20" x14ac:dyDescent="0.2">
      <c r="B12" s="51" t="s">
        <v>423</v>
      </c>
      <c r="D12" s="320">
        <v>5.8360000000000003</v>
      </c>
      <c r="E12" s="317">
        <v>75.27</v>
      </c>
      <c r="F12" s="51">
        <f>IF(E12&gt;$C$6,0,1)</f>
        <v>1</v>
      </c>
      <c r="G12" s="247">
        <f>F12*E12*D12</f>
        <v>439.27571999999998</v>
      </c>
      <c r="I12" s="51" t="str">
        <f>"Current Price (as of "&amp;TEXT(C7,"m/d/yy")&amp;")"</f>
        <v>Current Price (as of 2/3/23)</v>
      </c>
      <c r="L12" s="219">
        <f>C6</f>
        <v>103.84</v>
      </c>
    </row>
    <row r="13" spans="2:20" x14ac:dyDescent="0.2">
      <c r="B13" s="51" t="s">
        <v>428</v>
      </c>
      <c r="D13" s="320">
        <v>5.6000000000000001E-2</v>
      </c>
      <c r="E13" s="317"/>
      <c r="F13" s="51">
        <f>IF(E13&gt;$C$6,0,1)</f>
        <v>1</v>
      </c>
      <c r="G13" s="247">
        <f>F13*E13*D13</f>
        <v>0</v>
      </c>
      <c r="I13" s="220" t="s">
        <v>429</v>
      </c>
      <c r="J13" s="220"/>
      <c r="K13" s="220"/>
      <c r="L13" s="221">
        <v>0</v>
      </c>
    </row>
    <row r="14" spans="2:20" x14ac:dyDescent="0.2">
      <c r="G14" s="247"/>
      <c r="I14" s="51" t="s">
        <v>430</v>
      </c>
      <c r="L14" s="219">
        <f>L12*(1+L13)</f>
        <v>103.84</v>
      </c>
    </row>
    <row r="15" spans="2:20" x14ac:dyDescent="0.2">
      <c r="B15" s="222" t="s">
        <v>65</v>
      </c>
      <c r="C15" s="222"/>
      <c r="D15" s="223">
        <f>SUM(D12:D14)</f>
        <v>5.8920000000000003</v>
      </c>
      <c r="E15" s="222"/>
      <c r="F15" s="222"/>
      <c r="G15" s="248">
        <f>SUM(G12:G14)</f>
        <v>439.27571999999998</v>
      </c>
      <c r="I15" s="51" t="s">
        <v>431</v>
      </c>
      <c r="L15" s="224">
        <f>G20</f>
        <v>61.39017682588598</v>
      </c>
    </row>
    <row r="16" spans="2:20" ht="15" x14ac:dyDescent="0.25">
      <c r="B16" s="51" t="s">
        <v>432</v>
      </c>
      <c r="D16" s="225">
        <f>SUMPRODUCT(D12:D14,F12:F14)</f>
        <v>5.8920000000000003</v>
      </c>
      <c r="I16" s="69" t="s">
        <v>379</v>
      </c>
      <c r="J16" s="69"/>
      <c r="K16" s="69"/>
      <c r="L16" s="226">
        <f>L14*L15</f>
        <v>6374.7559616000008</v>
      </c>
    </row>
    <row r="17" spans="2:21" x14ac:dyDescent="0.2">
      <c r="I17" s="51" t="s">
        <v>433</v>
      </c>
      <c r="L17" s="321">
        <f>649.093+76.027</f>
        <v>725.12</v>
      </c>
    </row>
    <row r="18" spans="2:21" x14ac:dyDescent="0.2">
      <c r="B18" s="51" t="s">
        <v>434</v>
      </c>
      <c r="G18" s="225">
        <f>G15/C6</f>
        <v>4.2303131741140216</v>
      </c>
      <c r="L18" s="321"/>
    </row>
    <row r="19" spans="2:21" x14ac:dyDescent="0.2">
      <c r="B19" s="51" t="s">
        <v>435</v>
      </c>
      <c r="G19" s="225">
        <f>D16-G18</f>
        <v>1.6616868258859787</v>
      </c>
      <c r="I19" s="51" t="s">
        <v>436</v>
      </c>
      <c r="L19" s="321">
        <f>-Model!W176</f>
        <v>-99.334999999999994</v>
      </c>
      <c r="P19" s="227"/>
    </row>
    <row r="20" spans="2:21" ht="15" x14ac:dyDescent="0.25">
      <c r="B20" s="69" t="s">
        <v>437</v>
      </c>
      <c r="C20" s="69"/>
      <c r="D20" s="69"/>
      <c r="E20" s="69"/>
      <c r="F20" s="69"/>
      <c r="G20" s="228">
        <f>C8+G19</f>
        <v>61.39017682588598</v>
      </c>
      <c r="I20" s="69" t="s">
        <v>438</v>
      </c>
      <c r="J20" s="69"/>
      <c r="K20" s="69"/>
      <c r="L20" s="226">
        <f>SUM(L16:L19)</f>
        <v>7000.5409616000006</v>
      </c>
      <c r="P20" s="227"/>
    </row>
    <row r="21" spans="2:21" ht="15" x14ac:dyDescent="0.25">
      <c r="H21" s="85"/>
      <c r="P21" s="227"/>
    </row>
    <row r="23" spans="2:21" ht="15" x14ac:dyDescent="0.25">
      <c r="I23" s="94" t="s">
        <v>451</v>
      </c>
      <c r="J23" s="94"/>
      <c r="K23" s="94" t="s">
        <v>450</v>
      </c>
      <c r="L23" s="94" t="s">
        <v>452</v>
      </c>
    </row>
    <row r="24" spans="2:21" x14ac:dyDescent="0.2">
      <c r="I24" s="51" t="s">
        <v>448</v>
      </c>
      <c r="K24" s="247">
        <f>Model!AA168</f>
        <v>242.89664716970549</v>
      </c>
      <c r="L24" s="97">
        <f>$L$20/K24</f>
        <v>28.821068726851991</v>
      </c>
      <c r="P24" s="227"/>
      <c r="U24" s="229"/>
    </row>
    <row r="25" spans="2:21" x14ac:dyDescent="0.2">
      <c r="I25" s="51" t="s">
        <v>449</v>
      </c>
      <c r="K25" s="247">
        <f>Model!AA170</f>
        <v>367.49678622470549</v>
      </c>
      <c r="L25" s="97">
        <f>$L$20/K25</f>
        <v>19.049257637098158</v>
      </c>
      <c r="P25" s="227"/>
      <c r="U25" s="229"/>
    </row>
    <row r="26" spans="2:21" x14ac:dyDescent="0.2">
      <c r="U26" s="229"/>
    </row>
    <row r="27" spans="2:21" x14ac:dyDescent="0.2">
      <c r="I27" s="51" t="s">
        <v>453</v>
      </c>
      <c r="K27" s="247">
        <f>Model!AF168</f>
        <v>356.054797421388</v>
      </c>
      <c r="L27" s="97">
        <f>$L$20/K27</f>
        <v>19.661414513437705</v>
      </c>
    </row>
    <row r="28" spans="2:21" x14ac:dyDescent="0.2">
      <c r="I28" s="51" t="s">
        <v>454</v>
      </c>
      <c r="K28" s="247">
        <f>Model!AF170</f>
        <v>491.45438178298798</v>
      </c>
      <c r="L28" s="97">
        <f>$L$20/K28</f>
        <v>14.244538702050349</v>
      </c>
    </row>
  </sheetData>
  <pageMargins left="0.7" right="0.7" top="0.75" bottom="0.75" header="0.3" footer="0.3"/>
  <pageSetup orientation="portrait" verticalDpi="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A6BB4-65A0-4B45-8077-99E8B72975E0}">
  <sheetPr>
    <tabColor theme="1"/>
  </sheetPr>
  <dimension ref="B3:H13"/>
  <sheetViews>
    <sheetView showGridLines="0" workbookViewId="0"/>
  </sheetViews>
  <sheetFormatPr defaultRowHeight="12.75" x14ac:dyDescent="0.2"/>
  <cols>
    <col min="2" max="2" width="10.42578125" bestFit="1" customWidth="1"/>
  </cols>
  <sheetData>
    <row r="3" spans="2:8" x14ac:dyDescent="0.2">
      <c r="B3" s="4" t="s">
        <v>458</v>
      </c>
      <c r="C3" s="250"/>
      <c r="D3" s="250"/>
      <c r="F3" s="4" t="s">
        <v>459</v>
      </c>
      <c r="G3" s="250"/>
      <c r="H3" s="250"/>
    </row>
    <row r="4" spans="2:8" x14ac:dyDescent="0.2">
      <c r="B4" s="4"/>
      <c r="C4" s="250"/>
      <c r="D4" s="250"/>
      <c r="F4" s="4"/>
      <c r="G4" s="250"/>
      <c r="H4" s="250"/>
    </row>
    <row r="5" spans="2:8" x14ac:dyDescent="0.2">
      <c r="B5" s="20" t="s">
        <v>392</v>
      </c>
      <c r="C5" s="20" t="s">
        <v>455</v>
      </c>
      <c r="D5" s="20" t="s">
        <v>456</v>
      </c>
      <c r="F5" s="20" t="s">
        <v>392</v>
      </c>
      <c r="G5" s="20" t="s">
        <v>455</v>
      </c>
      <c r="H5" s="20" t="s">
        <v>456</v>
      </c>
    </row>
    <row r="7" spans="2:8" x14ac:dyDescent="0.2">
      <c r="B7" t="s">
        <v>357</v>
      </c>
      <c r="C7" s="26">
        <v>2658.72</v>
      </c>
      <c r="D7" s="26">
        <v>2866.31</v>
      </c>
      <c r="F7" t="s">
        <v>357</v>
      </c>
      <c r="G7" s="26">
        <f>Model!AA120</f>
        <v>2654.9204374999999</v>
      </c>
      <c r="H7" s="26">
        <f>Model!AF120</f>
        <v>2893.1535119999999</v>
      </c>
    </row>
    <row r="9" spans="2:8" x14ac:dyDescent="0.2">
      <c r="B9" t="s">
        <v>360</v>
      </c>
      <c r="C9" s="26">
        <v>278.73</v>
      </c>
      <c r="D9" s="26">
        <v>343.74</v>
      </c>
      <c r="F9" t="s">
        <v>360</v>
      </c>
      <c r="G9" s="26">
        <f>Model!AA168</f>
        <v>242.89664716970549</v>
      </c>
      <c r="H9" s="26">
        <f>Model!AF168</f>
        <v>356.054797421388</v>
      </c>
    </row>
    <row r="10" spans="2:8" x14ac:dyDescent="0.2">
      <c r="B10" s="22" t="s">
        <v>457</v>
      </c>
      <c r="C10" s="249">
        <f>C9/C7</f>
        <v>0.10483616176205092</v>
      </c>
      <c r="D10" s="249">
        <f>D9/D7</f>
        <v>0.11992422313008712</v>
      </c>
      <c r="F10" s="22" t="s">
        <v>457</v>
      </c>
      <c r="G10" s="249">
        <f>G9/G7</f>
        <v>9.1489237771068044E-2</v>
      </c>
      <c r="H10" s="249">
        <f>H9/H7</f>
        <v>0.12306806256376347</v>
      </c>
    </row>
    <row r="12" spans="2:8" x14ac:dyDescent="0.2">
      <c r="B12" t="s">
        <v>3</v>
      </c>
      <c r="C12" s="26">
        <v>198.08</v>
      </c>
      <c r="D12" s="26">
        <v>251.72</v>
      </c>
      <c r="F12" t="s">
        <v>3</v>
      </c>
      <c r="G12" s="26">
        <f>Model!AA158</f>
        <v>165.72135420746145</v>
      </c>
      <c r="H12" s="26">
        <f>Model!AF158</f>
        <v>253.4901459113243</v>
      </c>
    </row>
    <row r="13" spans="2:8" x14ac:dyDescent="0.2">
      <c r="B13" s="22" t="s">
        <v>457</v>
      </c>
      <c r="C13" s="249">
        <f>C12/C7</f>
        <v>7.4502016007702968E-2</v>
      </c>
      <c r="D13" s="249">
        <f>D12/D7</f>
        <v>8.7820228795908326E-2</v>
      </c>
      <c r="F13" s="22" t="s">
        <v>457</v>
      </c>
      <c r="G13" s="249">
        <f>G12/G7</f>
        <v>6.242045971197261E-2</v>
      </c>
      <c r="H13" s="249">
        <f>H12/H7</f>
        <v>8.7617247014345201E-2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88201-031A-4DD5-A95E-9728F7665572}">
  <sheetPr>
    <tabColor theme="4"/>
  </sheetPr>
  <dimension ref="A1"/>
  <sheetViews>
    <sheetView workbookViewId="0"/>
  </sheetViews>
  <sheetFormatPr defaultRowHeight="15" x14ac:dyDescent="0.25"/>
  <cols>
    <col min="1" max="16384" width="9.140625" style="207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CE202-66FB-4836-ABB3-001F67D93E95}">
  <sheetPr>
    <tabColor theme="4"/>
  </sheetPr>
  <dimension ref="B2:N30"/>
  <sheetViews>
    <sheetView showGridLines="0" zoomScaleNormal="100" workbookViewId="0">
      <selection activeCell="F21" sqref="F21"/>
    </sheetView>
  </sheetViews>
  <sheetFormatPr defaultRowHeight="12.75" x14ac:dyDescent="0.2"/>
  <cols>
    <col min="1" max="6" width="9.140625" style="327"/>
    <col min="7" max="7" width="12.28515625" style="327" customWidth="1"/>
    <col min="8" max="16384" width="9.140625" style="327"/>
  </cols>
  <sheetData>
    <row r="2" spans="2:14" s="327" customFormat="1" x14ac:dyDescent="0.2">
      <c r="B2" s="326" t="s">
        <v>536</v>
      </c>
    </row>
    <row r="4" spans="2:14" s="327" customFormat="1" x14ac:dyDescent="0.2">
      <c r="B4" s="328"/>
      <c r="C4" s="328"/>
      <c r="D4" s="328"/>
      <c r="E4" s="328"/>
      <c r="F4" s="328"/>
      <c r="G4" s="328"/>
      <c r="H4" s="328"/>
    </row>
    <row r="5" spans="2:14" s="327" customFormat="1" ht="34.5" customHeight="1" x14ac:dyDescent="0.2">
      <c r="B5" s="329"/>
      <c r="C5" s="329"/>
      <c r="D5" s="329"/>
      <c r="E5" s="329"/>
      <c r="F5" s="329"/>
      <c r="G5" s="330" t="s">
        <v>486</v>
      </c>
      <c r="H5" s="331"/>
    </row>
    <row r="6" spans="2:14" s="327" customFormat="1" x14ac:dyDescent="0.2">
      <c r="B6" s="332"/>
      <c r="C6" s="332"/>
      <c r="D6" s="332"/>
      <c r="E6" s="332"/>
      <c r="F6" s="332"/>
      <c r="G6" s="333" t="s">
        <v>474</v>
      </c>
      <c r="H6" s="333" t="s">
        <v>475</v>
      </c>
    </row>
    <row r="7" spans="2:14" s="327" customFormat="1" ht="17.25" customHeight="1" x14ac:dyDescent="0.2">
      <c r="B7" s="334" t="s">
        <v>537</v>
      </c>
      <c r="C7" s="335"/>
      <c r="D7" s="335"/>
      <c r="E7" s="335"/>
      <c r="F7" s="335"/>
      <c r="G7" s="336">
        <v>5.5E-2</v>
      </c>
      <c r="H7" s="336">
        <v>6.5000000000000002E-2</v>
      </c>
    </row>
    <row r="8" spans="2:14" s="327" customFormat="1" ht="9" customHeight="1" x14ac:dyDescent="0.2">
      <c r="B8" s="335"/>
      <c r="C8" s="335" t="s">
        <v>487</v>
      </c>
      <c r="D8" s="335"/>
      <c r="E8" s="335"/>
      <c r="F8" s="335"/>
      <c r="G8" s="335"/>
      <c r="H8" s="335"/>
    </row>
    <row r="9" spans="2:14" s="327" customFormat="1" ht="17.25" customHeight="1" x14ac:dyDescent="0.2">
      <c r="B9" s="334" t="s">
        <v>488</v>
      </c>
      <c r="C9" s="335"/>
      <c r="D9" s="335"/>
      <c r="E9" s="335"/>
      <c r="F9" s="335"/>
      <c r="G9" s="337">
        <f>'Beta Determination'!N48</f>
        <v>0.99416392877579263</v>
      </c>
      <c r="H9" s="337">
        <f>'Beta Determination'!O48</f>
        <v>1.2054502234218405</v>
      </c>
    </row>
    <row r="10" spans="2:14" s="327" customFormat="1" ht="17.25" customHeight="1" x14ac:dyDescent="0.2">
      <c r="B10" s="338" t="s">
        <v>489</v>
      </c>
      <c r="C10" s="335"/>
      <c r="D10" s="335"/>
      <c r="E10" s="335"/>
      <c r="F10" s="335"/>
      <c r="G10" s="337">
        <f>'Beta Determination'!N46</f>
        <v>0.83700930283026054</v>
      </c>
      <c r="H10" s="337">
        <f>'Beta Determination'!O46</f>
        <v>1.0148960567754051</v>
      </c>
    </row>
    <row r="11" spans="2:14" s="327" customFormat="1" ht="17.25" customHeight="1" x14ac:dyDescent="0.2">
      <c r="B11" s="335" t="s">
        <v>490</v>
      </c>
      <c r="C11" s="335"/>
      <c r="D11" s="335"/>
      <c r="E11" s="335"/>
      <c r="F11" s="335"/>
      <c r="G11" s="336">
        <f>G7*G9</f>
        <v>5.4679016082668598E-2</v>
      </c>
      <c r="H11" s="336">
        <f>H7*H9</f>
        <v>7.8354264522419628E-2</v>
      </c>
    </row>
    <row r="12" spans="2:14" s="327" customFormat="1" ht="17.25" customHeight="1" x14ac:dyDescent="0.2">
      <c r="B12" s="339" t="s">
        <v>538</v>
      </c>
      <c r="C12" s="335"/>
      <c r="D12" s="335"/>
      <c r="E12" s="335"/>
      <c r="F12" s="335"/>
      <c r="G12" s="340">
        <v>3.7699999999999997E-2</v>
      </c>
      <c r="H12" s="340">
        <f>G12</f>
        <v>3.7699999999999997E-2</v>
      </c>
    </row>
    <row r="13" spans="2:14" s="327" customFormat="1" ht="17.25" customHeight="1" x14ac:dyDescent="0.2">
      <c r="B13" s="334" t="s">
        <v>491</v>
      </c>
      <c r="C13" s="334"/>
      <c r="D13" s="334"/>
      <c r="E13" s="334"/>
      <c r="F13" s="334"/>
      <c r="G13" s="341">
        <f>SUM(G11:G12)</f>
        <v>9.2379016082668602E-2</v>
      </c>
      <c r="H13" s="341">
        <f>SUM(H11:H12)</f>
        <v>0.11605426452241963</v>
      </c>
    </row>
    <row r="14" spans="2:14" s="327" customFormat="1" ht="17.25" customHeight="1" x14ac:dyDescent="0.2">
      <c r="B14" s="339" t="s">
        <v>492</v>
      </c>
      <c r="C14" s="335"/>
      <c r="D14" s="335"/>
      <c r="E14" s="335"/>
      <c r="F14" s="335"/>
      <c r="G14" s="336">
        <f>1-G30</f>
        <v>0.80797144802074727</v>
      </c>
      <c r="H14" s="336">
        <f>1-H30</f>
        <v>0.80797144802074727</v>
      </c>
    </row>
    <row r="15" spans="2:14" s="327" customFormat="1" ht="17.25" customHeight="1" x14ac:dyDescent="0.2">
      <c r="B15" s="334" t="s">
        <v>493</v>
      </c>
      <c r="C15" s="334"/>
      <c r="D15" s="334"/>
      <c r="E15" s="334"/>
      <c r="F15" s="334"/>
      <c r="G15" s="341">
        <f>G13*G14</f>
        <v>7.4639607391045651E-2</v>
      </c>
      <c r="H15" s="341">
        <f>H13*H14</f>
        <v>9.3768532155162218E-2</v>
      </c>
      <c r="L15" s="342"/>
      <c r="M15" s="342"/>
      <c r="N15" s="343" t="s">
        <v>571</v>
      </c>
    </row>
    <row r="16" spans="2:14" s="327" customFormat="1" ht="9" customHeight="1" x14ac:dyDescent="0.2">
      <c r="B16" s="335"/>
      <c r="C16" s="335"/>
      <c r="D16" s="335"/>
      <c r="E16" s="335"/>
      <c r="F16" s="335"/>
      <c r="G16" s="335"/>
      <c r="H16" s="335"/>
    </row>
    <row r="17" spans="2:14" s="327" customFormat="1" ht="17.25" customHeight="1" x14ac:dyDescent="0.2">
      <c r="B17" s="334" t="s">
        <v>539</v>
      </c>
      <c r="C17" s="334"/>
      <c r="D17" s="334"/>
      <c r="E17" s="334"/>
      <c r="F17" s="334"/>
      <c r="G17" s="344">
        <f>N19</f>
        <v>4.6115588367899009E-2</v>
      </c>
      <c r="H17" s="344">
        <f>G17</f>
        <v>4.6115588367899009E-2</v>
      </c>
      <c r="L17" s="327" t="s">
        <v>570</v>
      </c>
      <c r="N17" s="327">
        <f>Model!V142</f>
        <v>-32.731000000000002</v>
      </c>
    </row>
    <row r="18" spans="2:14" s="327" customFormat="1" ht="17.25" customHeight="1" thickBot="1" x14ac:dyDescent="0.25">
      <c r="B18" s="335" t="s">
        <v>494</v>
      </c>
      <c r="C18" s="335"/>
      <c r="D18" s="335"/>
      <c r="E18" s="335"/>
      <c r="F18" s="335"/>
      <c r="G18" s="336">
        <f>'Beta Determination'!F3</f>
        <v>0.21</v>
      </c>
      <c r="H18" s="336">
        <f>G18</f>
        <v>0.21</v>
      </c>
      <c r="L18" s="327" t="s">
        <v>572</v>
      </c>
      <c r="N18" s="327">
        <f>Model!V198</f>
        <v>709.76</v>
      </c>
    </row>
    <row r="19" spans="2:14" s="327" customFormat="1" ht="17.25" customHeight="1" thickBot="1" x14ac:dyDescent="0.25">
      <c r="B19" s="335" t="s">
        <v>495</v>
      </c>
      <c r="C19" s="335"/>
      <c r="D19" s="335"/>
      <c r="E19" s="335"/>
      <c r="F19" s="335"/>
      <c r="G19" s="340">
        <f>G17*(1-G18)</f>
        <v>3.6431314810640221E-2</v>
      </c>
      <c r="H19" s="340">
        <f>H17*(1-H18)</f>
        <v>3.6431314810640221E-2</v>
      </c>
      <c r="L19" s="345" t="s">
        <v>573</v>
      </c>
      <c r="M19" s="346"/>
      <c r="N19" s="347">
        <f>-N17/N18</f>
        <v>4.6115588367899009E-2</v>
      </c>
    </row>
    <row r="20" spans="2:14" s="327" customFormat="1" ht="17.25" customHeight="1" x14ac:dyDescent="0.2">
      <c r="B20" s="339" t="s">
        <v>496</v>
      </c>
      <c r="C20" s="335"/>
      <c r="D20" s="335"/>
      <c r="E20" s="335"/>
      <c r="F20" s="335"/>
      <c r="G20" s="336">
        <f>1-G14</f>
        <v>0.19202855197925273</v>
      </c>
      <c r="H20" s="336">
        <f>1-H14</f>
        <v>0.19202855197925273</v>
      </c>
    </row>
    <row r="21" spans="2:14" s="327" customFormat="1" ht="17.25" customHeight="1" x14ac:dyDescent="0.2">
      <c r="B21" s="334" t="s">
        <v>497</v>
      </c>
      <c r="C21" s="334"/>
      <c r="D21" s="334"/>
      <c r="E21" s="334"/>
      <c r="F21" s="334"/>
      <c r="G21" s="341">
        <f>G19*G20</f>
        <v>6.9958526297875454E-3</v>
      </c>
      <c r="H21" s="341">
        <f>H19*H20</f>
        <v>6.9958526297875454E-3</v>
      </c>
    </row>
    <row r="22" spans="2:14" s="327" customFormat="1" ht="9" customHeight="1" x14ac:dyDescent="0.2">
      <c r="B22" s="334"/>
      <c r="C22" s="334"/>
      <c r="D22" s="334"/>
      <c r="E22" s="334"/>
      <c r="F22" s="334"/>
      <c r="G22" s="344"/>
      <c r="H22" s="344"/>
    </row>
    <row r="23" spans="2:14" s="327" customFormat="1" ht="17.25" customHeight="1" x14ac:dyDescent="0.2">
      <c r="B23" s="348" t="s">
        <v>498</v>
      </c>
      <c r="C23" s="349"/>
      <c r="D23" s="349"/>
      <c r="E23" s="349"/>
      <c r="F23" s="349"/>
      <c r="G23" s="350">
        <f>G21+G15</f>
        <v>8.1635460020833189E-2</v>
      </c>
      <c r="H23" s="351">
        <f>H21+H15</f>
        <v>0.10076438478494976</v>
      </c>
      <c r="J23" s="352"/>
    </row>
    <row r="24" spans="2:14" s="327" customFormat="1" ht="17.25" customHeight="1" x14ac:dyDescent="0.2"/>
    <row r="25" spans="2:14" s="327" customFormat="1" ht="17.25" customHeight="1" x14ac:dyDescent="0.2">
      <c r="B25" s="326" t="s">
        <v>499</v>
      </c>
      <c r="G25" s="353">
        <f>AVERAGE(G23:H23)</f>
        <v>9.1199922402891473E-2</v>
      </c>
    </row>
    <row r="26" spans="2:14" s="327" customFormat="1" ht="17.25" customHeight="1" x14ac:dyDescent="0.2">
      <c r="B26" s="326" t="s">
        <v>500</v>
      </c>
      <c r="G26" s="344">
        <f>ROUND(G25,1)</f>
        <v>0.1</v>
      </c>
    </row>
    <row r="27" spans="2:14" s="327" customFormat="1" ht="17.25" customHeight="1" x14ac:dyDescent="0.2">
      <c r="G27" s="352"/>
    </row>
    <row r="28" spans="2:14" s="327" customFormat="1" ht="17.25" customHeight="1" x14ac:dyDescent="0.2">
      <c r="B28" s="354" t="s">
        <v>501</v>
      </c>
      <c r="C28" s="354"/>
      <c r="D28" s="354"/>
      <c r="E28" s="354"/>
      <c r="F28" s="354"/>
      <c r="G28" s="354"/>
      <c r="H28" s="354"/>
    </row>
    <row r="29" spans="2:14" s="327" customFormat="1" ht="17.25" customHeight="1" x14ac:dyDescent="0.2">
      <c r="B29" s="327" t="s">
        <v>502</v>
      </c>
      <c r="G29" s="355">
        <f>'Beta Determination'!N47</f>
        <v>0.23766749734740847</v>
      </c>
      <c r="H29" s="355">
        <f>'Beta Determination'!O47</f>
        <v>0.23766749734740847</v>
      </c>
    </row>
    <row r="30" spans="2:14" s="327" customFormat="1" ht="17.25" customHeight="1" x14ac:dyDescent="0.2">
      <c r="B30" s="327" t="s">
        <v>503</v>
      </c>
      <c r="G30" s="355">
        <f>G29/(1+G29)</f>
        <v>0.19202855197925273</v>
      </c>
      <c r="H30" s="355">
        <f>H29/(1+H29)</f>
        <v>0.19202855197925273</v>
      </c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4A82D-6413-474A-8666-FE870F8CAD24}">
  <sheetPr>
    <tabColor theme="4"/>
  </sheetPr>
  <dimension ref="C3:Q48"/>
  <sheetViews>
    <sheetView showGridLines="0" zoomScale="85" zoomScaleNormal="85" workbookViewId="0">
      <selection activeCell="A9" sqref="A9"/>
    </sheetView>
  </sheetViews>
  <sheetFormatPr defaultRowHeight="12.75" outlineLevelRow="2" x14ac:dyDescent="0.2"/>
  <cols>
    <col min="1" max="8" width="9.140625" style="327"/>
    <col min="9" max="9" width="15.140625" style="327" customWidth="1"/>
    <col min="10" max="10" width="13.140625" style="327" customWidth="1"/>
    <col min="11" max="12" width="11.140625" style="327" customWidth="1"/>
    <col min="13" max="16384" width="9.140625" style="327"/>
  </cols>
  <sheetData>
    <row r="3" spans="3:17" x14ac:dyDescent="0.2">
      <c r="C3" s="356" t="s">
        <v>525</v>
      </c>
      <c r="D3" s="357"/>
      <c r="E3" s="357"/>
      <c r="F3" s="358">
        <v>0.21</v>
      </c>
    </row>
    <row r="6" spans="3:17" x14ac:dyDescent="0.2">
      <c r="C6" s="359"/>
      <c r="D6" s="359"/>
      <c r="E6" s="359"/>
      <c r="F6" s="360" t="s">
        <v>504</v>
      </c>
      <c r="G6" s="361"/>
      <c r="H6" s="361"/>
      <c r="I6" s="359"/>
      <c r="J6" s="359"/>
      <c r="K6" s="359"/>
      <c r="L6" s="359"/>
      <c r="M6" s="360" t="s">
        <v>505</v>
      </c>
      <c r="N6" s="361"/>
      <c r="O6" s="361"/>
    </row>
    <row r="7" spans="3:17" ht="62.25" customHeight="1" x14ac:dyDescent="0.2">
      <c r="C7" s="359"/>
      <c r="D7" s="359"/>
      <c r="E7" s="359"/>
      <c r="F7" s="362" t="s">
        <v>506</v>
      </c>
      <c r="G7" s="363"/>
      <c r="H7" s="363"/>
      <c r="I7" s="364" t="s">
        <v>507</v>
      </c>
      <c r="J7" s="364" t="s">
        <v>508</v>
      </c>
      <c r="K7" s="365" t="s">
        <v>509</v>
      </c>
      <c r="L7" s="365"/>
      <c r="M7" s="362" t="s">
        <v>510</v>
      </c>
      <c r="N7" s="363"/>
      <c r="O7" s="363"/>
    </row>
    <row r="8" spans="3:17" x14ac:dyDescent="0.2">
      <c r="C8" s="366" t="s">
        <v>511</v>
      </c>
      <c r="D8" s="366"/>
      <c r="E8" s="366"/>
      <c r="F8" s="367" t="s">
        <v>512</v>
      </c>
      <c r="G8" s="367" t="s">
        <v>513</v>
      </c>
      <c r="H8" s="367" t="s">
        <v>514</v>
      </c>
      <c r="I8" s="367"/>
      <c r="J8" s="367"/>
      <c r="K8" s="367" t="s">
        <v>515</v>
      </c>
      <c r="L8" s="367" t="s">
        <v>516</v>
      </c>
      <c r="M8" s="367" t="s">
        <v>512</v>
      </c>
      <c r="N8" s="367" t="s">
        <v>513</v>
      </c>
      <c r="O8" s="367" t="s">
        <v>514</v>
      </c>
      <c r="Q8" s="354" t="s">
        <v>517</v>
      </c>
    </row>
    <row r="9" spans="3:17" ht="5.25" customHeight="1" thickBot="1" x14ac:dyDescent="0.25"/>
    <row r="10" spans="3:17" ht="13.5" outlineLevel="1" thickBot="1" x14ac:dyDescent="0.25">
      <c r="C10" s="411" t="s">
        <v>468</v>
      </c>
      <c r="D10" s="412"/>
      <c r="E10" s="412"/>
      <c r="F10" s="413">
        <v>1.0609999999999999</v>
      </c>
      <c r="G10" s="414">
        <v>1.012</v>
      </c>
      <c r="H10" s="414">
        <v>1.343</v>
      </c>
      <c r="I10" s="415">
        <f>TSM!L16</f>
        <v>6374.7559616000008</v>
      </c>
      <c r="J10" s="415">
        <f>TSM!L17</f>
        <v>725.12</v>
      </c>
      <c r="K10" s="416">
        <f>J10/I10</f>
        <v>0.11374866808517044</v>
      </c>
      <c r="L10" s="416">
        <f>J10/(J10+I10)</f>
        <v>0.10213136171981654</v>
      </c>
      <c r="M10" s="413"/>
      <c r="N10" s="413">
        <f>G10/(1+($K10*(1-($Q10))))</f>
        <v>0.92855839800062245</v>
      </c>
      <c r="O10" s="417">
        <f>H10/(1+($K10*(1-($Q10))))</f>
        <v>1.2322667277814585</v>
      </c>
      <c r="Q10" s="371">
        <v>0.21</v>
      </c>
    </row>
    <row r="11" spans="3:17" ht="5.25" customHeight="1" outlineLevel="1" x14ac:dyDescent="0.2">
      <c r="F11" s="368"/>
      <c r="G11" s="368"/>
      <c r="H11" s="368"/>
      <c r="I11" s="370"/>
      <c r="J11" s="370"/>
      <c r="Q11" s="371"/>
    </row>
    <row r="12" spans="3:17" outlineLevel="1" x14ac:dyDescent="0.2">
      <c r="C12" s="372" t="s">
        <v>531</v>
      </c>
      <c r="D12" s="372"/>
      <c r="E12" s="372"/>
      <c r="F12" s="373"/>
      <c r="G12" s="373"/>
      <c r="H12" s="373"/>
      <c r="I12" s="374"/>
      <c r="J12" s="374"/>
      <c r="K12" s="372"/>
      <c r="L12" s="372"/>
      <c r="M12" s="372"/>
      <c r="N12" s="372"/>
      <c r="O12" s="372"/>
      <c r="Q12" s="371"/>
    </row>
    <row r="13" spans="3:17" outlineLevel="1" x14ac:dyDescent="0.2">
      <c r="C13" s="327" t="s">
        <v>526</v>
      </c>
      <c r="F13" s="368">
        <v>0.84199999999999997</v>
      </c>
      <c r="G13" s="368">
        <v>0.84199999999999997</v>
      </c>
      <c r="H13" s="368">
        <v>1.177</v>
      </c>
      <c r="I13" s="370">
        <v>6555.13</v>
      </c>
      <c r="J13" s="370">
        <f>1343.71</f>
        <v>1343.71</v>
      </c>
      <c r="K13" s="355">
        <f>J13/I13</f>
        <v>0.20498601858391824</v>
      </c>
      <c r="L13" s="355">
        <f>J13/(J13+I13)</f>
        <v>0.17011485230742743</v>
      </c>
      <c r="M13" s="368">
        <f t="shared" ref="M13:O15" si="0">F13/(1+($K13*(1-($Q13))))</f>
        <v>0.72465080597194498</v>
      </c>
      <c r="N13" s="368">
        <f t="shared" si="0"/>
        <v>0.72465080597194498</v>
      </c>
      <c r="O13" s="368">
        <f t="shared" si="0"/>
        <v>1.0129619936211154</v>
      </c>
      <c r="Q13" s="371">
        <v>0.21</v>
      </c>
    </row>
    <row r="14" spans="3:17" outlineLevel="1" x14ac:dyDescent="0.2">
      <c r="C14" s="327" t="s">
        <v>527</v>
      </c>
      <c r="F14" s="368">
        <v>1.1040000000000001</v>
      </c>
      <c r="G14" s="368">
        <v>1.101</v>
      </c>
      <c r="H14" s="368">
        <v>1.284</v>
      </c>
      <c r="I14" s="370">
        <v>5966.17</v>
      </c>
      <c r="J14" s="370">
        <v>797</v>
      </c>
      <c r="K14" s="355">
        <f>J14/I14</f>
        <v>0.13358653876775217</v>
      </c>
      <c r="L14" s="355">
        <f>J14/(J14+I14)</f>
        <v>0.1178441470493866</v>
      </c>
      <c r="M14" s="368">
        <f t="shared" si="0"/>
        <v>0.99861300827799515</v>
      </c>
      <c r="N14" s="368">
        <f t="shared" si="0"/>
        <v>0.99589938597289174</v>
      </c>
      <c r="O14" s="368">
        <f t="shared" si="0"/>
        <v>1.16143034658419</v>
      </c>
      <c r="Q14" s="371">
        <v>0.21</v>
      </c>
    </row>
    <row r="15" spans="3:17" outlineLevel="1" x14ac:dyDescent="0.2">
      <c r="C15" s="327" t="s">
        <v>528</v>
      </c>
      <c r="F15" s="368">
        <v>1.004</v>
      </c>
      <c r="G15" s="369">
        <v>1.028</v>
      </c>
      <c r="H15" s="369">
        <v>1.286</v>
      </c>
      <c r="I15" s="370">
        <v>2993.27</v>
      </c>
      <c r="J15" s="370">
        <v>916.88</v>
      </c>
      <c r="K15" s="355">
        <f>J15/I15</f>
        <v>0.30631383069352247</v>
      </c>
      <c r="L15" s="355">
        <f>J15/(J15+I15)</f>
        <v>0.23448716801145736</v>
      </c>
      <c r="M15" s="368">
        <f t="shared" si="0"/>
        <v>0.80838144943416801</v>
      </c>
      <c r="N15" s="368">
        <f t="shared" si="0"/>
        <v>0.82770530878319193</v>
      </c>
      <c r="O15" s="368">
        <f t="shared" si="0"/>
        <v>1.0354367967851992</v>
      </c>
      <c r="Q15" s="371">
        <v>0.21</v>
      </c>
    </row>
    <row r="16" spans="3:17" outlineLevel="1" x14ac:dyDescent="0.2">
      <c r="C16" s="327" t="s">
        <v>529</v>
      </c>
      <c r="F16" s="368">
        <v>1.103</v>
      </c>
      <c r="G16" s="369">
        <v>1.077</v>
      </c>
      <c r="H16" s="369">
        <v>1.2809999999999999</v>
      </c>
      <c r="I16" s="370">
        <v>45916.01</v>
      </c>
      <c r="J16" s="370">
        <v>14020.19</v>
      </c>
      <c r="K16" s="355">
        <f t="shared" ref="K16:K17" si="1">J16/I16</f>
        <v>0.30534425791788095</v>
      </c>
      <c r="L16" s="355">
        <f t="shared" ref="L16:L17" si="2">J16/(J16+I16)</f>
        <v>0.23391856674263634</v>
      </c>
      <c r="M16" s="368">
        <f t="shared" ref="M16:M17" si="3">F16/(1+($K16*(1-($Q16))))</f>
        <v>0.88864041421168816</v>
      </c>
      <c r="N16" s="368">
        <f t="shared" ref="N16:N17" si="4">G16/(1+($K16*(1-($Q16))))</f>
        <v>0.86769331469264566</v>
      </c>
      <c r="O16" s="368">
        <f t="shared" ref="O16:O17" si="5">H16/(1+($K16*(1-($Q16))))</f>
        <v>1.0320474801497483</v>
      </c>
      <c r="Q16" s="371">
        <v>0.21</v>
      </c>
    </row>
    <row r="17" spans="3:17" outlineLevel="1" x14ac:dyDescent="0.2">
      <c r="C17" s="327" t="s">
        <v>530</v>
      </c>
      <c r="F17" s="368">
        <v>1.157</v>
      </c>
      <c r="G17" s="369">
        <v>1.0980000000000001</v>
      </c>
      <c r="H17" s="369">
        <v>1.286</v>
      </c>
      <c r="I17" s="370">
        <v>40603.22</v>
      </c>
      <c r="J17" s="370">
        <v>19649</v>
      </c>
      <c r="K17" s="355">
        <f t="shared" si="1"/>
        <v>0.4839271368132872</v>
      </c>
      <c r="L17" s="355">
        <f t="shared" si="2"/>
        <v>0.32611246523364618</v>
      </c>
      <c r="M17" s="368">
        <f t="shared" si="3"/>
        <v>0.83700930283026054</v>
      </c>
      <c r="N17" s="368">
        <f t="shared" si="4"/>
        <v>0.79432689240071397</v>
      </c>
      <c r="O17" s="368">
        <f t="shared" si="5"/>
        <v>0.93033186122706568</v>
      </c>
      <c r="Q17" s="371">
        <v>0.21</v>
      </c>
    </row>
    <row r="18" spans="3:17" outlineLevel="2" x14ac:dyDescent="0.2">
      <c r="C18" s="375" t="s">
        <v>518</v>
      </c>
      <c r="D18" s="376"/>
      <c r="E18" s="376"/>
      <c r="F18" s="377">
        <f>AVERAGE(F13:F17)</f>
        <v>1.042</v>
      </c>
      <c r="G18" s="377">
        <f t="shared" ref="G18:O18" si="6">AVERAGE(G13:G17)</f>
        <v>1.0291999999999999</v>
      </c>
      <c r="H18" s="377">
        <f t="shared" si="6"/>
        <v>1.2627999999999999</v>
      </c>
      <c r="I18" s="378">
        <f t="shared" si="6"/>
        <v>20406.760000000002</v>
      </c>
      <c r="J18" s="378">
        <f t="shared" si="6"/>
        <v>7345.3559999999998</v>
      </c>
      <c r="K18" s="379">
        <f t="shared" si="6"/>
        <v>0.2868315565552722</v>
      </c>
      <c r="L18" s="379">
        <f t="shared" si="6"/>
        <v>0.21649543986891079</v>
      </c>
      <c r="M18" s="377">
        <f t="shared" si="6"/>
        <v>0.85145899614521137</v>
      </c>
      <c r="N18" s="377">
        <f t="shared" si="6"/>
        <v>0.84205514156427763</v>
      </c>
      <c r="O18" s="377">
        <f t="shared" si="6"/>
        <v>1.0344416956734637</v>
      </c>
      <c r="Q18" s="371"/>
    </row>
    <row r="19" spans="3:17" outlineLevel="2" x14ac:dyDescent="0.2">
      <c r="C19" s="380" t="s">
        <v>519</v>
      </c>
      <c r="D19" s="381"/>
      <c r="E19" s="381"/>
      <c r="F19" s="382">
        <f>MEDIAN(F13:F17)</f>
        <v>1.103</v>
      </c>
      <c r="G19" s="382">
        <f t="shared" ref="G19:O19" si="7">MEDIAN(G13:G17)</f>
        <v>1.077</v>
      </c>
      <c r="H19" s="382">
        <f t="shared" si="7"/>
        <v>1.284</v>
      </c>
      <c r="I19" s="383">
        <f t="shared" si="7"/>
        <v>6555.13</v>
      </c>
      <c r="J19" s="383">
        <f t="shared" si="7"/>
        <v>1343.71</v>
      </c>
      <c r="K19" s="384">
        <f t="shared" si="7"/>
        <v>0.30534425791788095</v>
      </c>
      <c r="L19" s="384">
        <f t="shared" si="7"/>
        <v>0.23391856674263634</v>
      </c>
      <c r="M19" s="382">
        <f t="shared" si="7"/>
        <v>0.83700930283026054</v>
      </c>
      <c r="N19" s="382">
        <f t="shared" si="7"/>
        <v>0.82770530878319193</v>
      </c>
      <c r="O19" s="385">
        <f t="shared" si="7"/>
        <v>1.0320474801497483</v>
      </c>
      <c r="Q19" s="371"/>
    </row>
    <row r="20" spans="3:17" outlineLevel="2" x14ac:dyDescent="0.2">
      <c r="F20" s="368"/>
      <c r="G20" s="368"/>
      <c r="H20" s="368"/>
      <c r="I20" s="370"/>
      <c r="J20" s="370"/>
      <c r="Q20" s="371"/>
    </row>
    <row r="21" spans="3:17" outlineLevel="2" x14ac:dyDescent="0.2">
      <c r="C21" s="386"/>
      <c r="D21" s="387"/>
      <c r="E21" s="387"/>
      <c r="F21" s="388"/>
      <c r="G21" s="388"/>
      <c r="H21" s="388"/>
      <c r="I21" s="389"/>
      <c r="J21" s="389"/>
      <c r="K21" s="387"/>
      <c r="L21" s="387"/>
      <c r="M21" s="387"/>
      <c r="N21" s="390" t="s">
        <v>474</v>
      </c>
      <c r="O21" s="391" t="s">
        <v>475</v>
      </c>
      <c r="Q21" s="371"/>
    </row>
    <row r="22" spans="3:17" outlineLevel="2" x14ac:dyDescent="0.2">
      <c r="C22" s="392" t="s">
        <v>520</v>
      </c>
      <c r="D22" s="359"/>
      <c r="E22" s="359"/>
      <c r="F22" s="393"/>
      <c r="G22" s="393"/>
      <c r="H22" s="393"/>
      <c r="I22" s="394"/>
      <c r="J22" s="394"/>
      <c r="K22" s="359"/>
      <c r="L22" s="359"/>
      <c r="M22" s="359"/>
      <c r="N22" s="395">
        <f>MIN(M19:O19)</f>
        <v>0.82770530878319193</v>
      </c>
      <c r="O22" s="396">
        <f>MAX(M19:O19)</f>
        <v>1.0320474801497483</v>
      </c>
      <c r="Q22" s="371"/>
    </row>
    <row r="23" spans="3:17" outlineLevel="2" x14ac:dyDescent="0.2">
      <c r="C23" s="392" t="s">
        <v>521</v>
      </c>
      <c r="D23" s="359"/>
      <c r="E23" s="359"/>
      <c r="F23" s="393"/>
      <c r="G23" s="393"/>
      <c r="H23" s="393"/>
      <c r="I23" s="394"/>
      <c r="J23" s="394"/>
      <c r="K23" s="359"/>
      <c r="L23" s="359"/>
      <c r="M23" s="359"/>
      <c r="N23" s="397">
        <f>K19</f>
        <v>0.30534425791788095</v>
      </c>
      <c r="O23" s="398">
        <f>N23</f>
        <v>0.30534425791788095</v>
      </c>
      <c r="Q23" s="371"/>
    </row>
    <row r="24" spans="3:17" outlineLevel="2" x14ac:dyDescent="0.2">
      <c r="C24" s="399" t="s">
        <v>522</v>
      </c>
      <c r="D24" s="400"/>
      <c r="E24" s="400"/>
      <c r="F24" s="401"/>
      <c r="G24" s="401"/>
      <c r="H24" s="401"/>
      <c r="I24" s="402"/>
      <c r="J24" s="402"/>
      <c r="K24" s="400"/>
      <c r="L24" s="400"/>
      <c r="M24" s="400"/>
      <c r="N24" s="403">
        <f>N22*(1+(N23*(1-$F$3)))</f>
        <v>1.0273660087784162</v>
      </c>
      <c r="O24" s="404">
        <f>O22*(1+(O23*(1-$F$3)))</f>
        <v>1.2809999999999999</v>
      </c>
      <c r="Q24" s="371"/>
    </row>
    <row r="25" spans="3:17" ht="5.25" customHeight="1" outlineLevel="1" x14ac:dyDescent="0.2">
      <c r="F25" s="368"/>
      <c r="G25" s="368"/>
      <c r="H25" s="368"/>
      <c r="I25" s="370"/>
      <c r="J25" s="370"/>
      <c r="Q25" s="371"/>
    </row>
    <row r="26" spans="3:17" outlineLevel="1" x14ac:dyDescent="0.2">
      <c r="C26" s="372" t="s">
        <v>532</v>
      </c>
      <c r="D26" s="372"/>
      <c r="E26" s="372"/>
      <c r="F26" s="373"/>
      <c r="G26" s="373"/>
      <c r="H26" s="373"/>
      <c r="I26" s="374"/>
      <c r="J26" s="374"/>
      <c r="K26" s="372"/>
      <c r="L26" s="372"/>
      <c r="M26" s="372"/>
      <c r="N26" s="372"/>
      <c r="O26" s="372"/>
      <c r="Q26" s="371"/>
    </row>
    <row r="27" spans="3:17" outlineLevel="1" x14ac:dyDescent="0.2">
      <c r="C27" s="327" t="s">
        <v>533</v>
      </c>
      <c r="F27" s="368">
        <v>0.97299999999999998</v>
      </c>
      <c r="G27" s="368">
        <v>0.92400000000000004</v>
      </c>
      <c r="H27" s="368">
        <v>1.0029999999999999</v>
      </c>
      <c r="I27" s="370">
        <v>130610</v>
      </c>
      <c r="J27" s="370">
        <v>29750</v>
      </c>
      <c r="K27" s="355">
        <f>J27/I27</f>
        <v>0.22777735242324476</v>
      </c>
      <c r="L27" s="355">
        <f>J27/(J27+I27)</f>
        <v>0.18552007982040408</v>
      </c>
      <c r="M27" s="368">
        <f t="shared" ref="M27:O30" si="8">F27/(1+($K27*(1-($Q27))))</f>
        <v>0.82461532971043883</v>
      </c>
      <c r="N27" s="368">
        <f t="shared" si="8"/>
        <v>0.78308793900559659</v>
      </c>
      <c r="O27" s="368">
        <f t="shared" si="8"/>
        <v>0.85004026279503597</v>
      </c>
      <c r="Q27" s="371">
        <v>0.21</v>
      </c>
    </row>
    <row r="28" spans="3:17" outlineLevel="1" x14ac:dyDescent="0.2">
      <c r="C28" s="327" t="s">
        <v>523</v>
      </c>
      <c r="F28" s="368">
        <v>0.91600000000000004</v>
      </c>
      <c r="G28" s="368">
        <v>0.94599999999999995</v>
      </c>
      <c r="H28" s="368">
        <v>1.097</v>
      </c>
      <c r="I28" s="370">
        <v>65447</v>
      </c>
      <c r="J28" s="370">
        <v>9008</v>
      </c>
      <c r="K28" s="355">
        <f>J28/I28</f>
        <v>0.13763808883524073</v>
      </c>
      <c r="L28" s="355">
        <f>J28/(J28+I28)</f>
        <v>0.12098583036733597</v>
      </c>
      <c r="M28" s="368">
        <f t="shared" si="8"/>
        <v>0.82616743555835104</v>
      </c>
      <c r="N28" s="368">
        <f t="shared" si="8"/>
        <v>0.85322532100240178</v>
      </c>
      <c r="O28" s="368">
        <f t="shared" si="8"/>
        <v>0.98941667773745745</v>
      </c>
      <c r="Q28" s="371">
        <v>0.21</v>
      </c>
    </row>
    <row r="29" spans="3:17" outlineLevel="1" x14ac:dyDescent="0.2">
      <c r="C29" s="327" t="s">
        <v>534</v>
      </c>
      <c r="F29" s="368">
        <v>1.125</v>
      </c>
      <c r="G29" s="368">
        <v>1.0880000000000001</v>
      </c>
      <c r="H29" s="368">
        <v>1.2350000000000001</v>
      </c>
      <c r="I29" s="370">
        <v>4633.58</v>
      </c>
      <c r="J29" s="370">
        <v>1258.45</v>
      </c>
      <c r="K29" s="355">
        <f>J29/I29</f>
        <v>0.27159345473694207</v>
      </c>
      <c r="L29" s="355">
        <f>J29/(J29+I29)</f>
        <v>0.21358513110082605</v>
      </c>
      <c r="M29" s="368">
        <f t="shared" si="8"/>
        <v>0.92626225499668557</v>
      </c>
      <c r="N29" s="368">
        <f t="shared" si="8"/>
        <v>0.89579851861012794</v>
      </c>
      <c r="O29" s="368">
        <f t="shared" si="8"/>
        <v>1.016830119929695</v>
      </c>
      <c r="Q29" s="371">
        <v>0.21</v>
      </c>
    </row>
    <row r="30" spans="3:17" outlineLevel="1" x14ac:dyDescent="0.2">
      <c r="C30" s="327" t="s">
        <v>535</v>
      </c>
      <c r="F30" s="368">
        <v>1.1240000000000001</v>
      </c>
      <c r="G30" s="368">
        <v>1.0760000000000001</v>
      </c>
      <c r="H30" s="368">
        <v>1.204</v>
      </c>
      <c r="I30" s="370">
        <v>9889.01</v>
      </c>
      <c r="J30" s="370">
        <v>2448.1</v>
      </c>
      <c r="K30" s="355">
        <f>J30/I30</f>
        <v>0.24755764227157218</v>
      </c>
      <c r="L30" s="355">
        <f>J30/(J30+I30)</f>
        <v>0.19843383093771555</v>
      </c>
      <c r="M30" s="368">
        <f t="shared" si="8"/>
        <v>0.94013691776771902</v>
      </c>
      <c r="N30" s="368">
        <f t="shared" si="8"/>
        <v>0.89998872199116153</v>
      </c>
      <c r="O30" s="368">
        <f t="shared" si="8"/>
        <v>1.0070505773953145</v>
      </c>
      <c r="Q30" s="371">
        <v>0.21</v>
      </c>
    </row>
    <row r="31" spans="3:17" outlineLevel="2" x14ac:dyDescent="0.2">
      <c r="C31" s="375" t="s">
        <v>518</v>
      </c>
      <c r="D31" s="376"/>
      <c r="E31" s="376"/>
      <c r="F31" s="377">
        <f t="shared" ref="F31:O31" si="9">AVERAGE(F27:F30)</f>
        <v>1.0345</v>
      </c>
      <c r="G31" s="377">
        <f t="shared" si="9"/>
        <v>1.0085000000000002</v>
      </c>
      <c r="H31" s="377">
        <f t="shared" si="9"/>
        <v>1.1347499999999999</v>
      </c>
      <c r="I31" s="378">
        <f t="shared" si="9"/>
        <v>52644.897499999999</v>
      </c>
      <c r="J31" s="378">
        <f t="shared" si="9"/>
        <v>10616.137499999999</v>
      </c>
      <c r="K31" s="379">
        <f t="shared" si="9"/>
        <v>0.22114163456674993</v>
      </c>
      <c r="L31" s="379">
        <f t="shared" si="9"/>
        <v>0.1796312180565704</v>
      </c>
      <c r="M31" s="377">
        <f t="shared" si="9"/>
        <v>0.87929548450829864</v>
      </c>
      <c r="N31" s="377">
        <f t="shared" si="9"/>
        <v>0.85802512515232199</v>
      </c>
      <c r="O31" s="405">
        <f t="shared" si="9"/>
        <v>0.9658344094643756</v>
      </c>
    </row>
    <row r="32" spans="3:17" outlineLevel="2" x14ac:dyDescent="0.2">
      <c r="C32" s="380" t="s">
        <v>519</v>
      </c>
      <c r="D32" s="381"/>
      <c r="E32" s="381"/>
      <c r="F32" s="382">
        <f t="shared" ref="F32:O32" si="10">MEDIAN(F27:F30)</f>
        <v>1.0485</v>
      </c>
      <c r="G32" s="382">
        <f t="shared" si="10"/>
        <v>1.0110000000000001</v>
      </c>
      <c r="H32" s="382">
        <f t="shared" si="10"/>
        <v>1.1505000000000001</v>
      </c>
      <c r="I32" s="383">
        <f t="shared" si="10"/>
        <v>37668.004999999997</v>
      </c>
      <c r="J32" s="383">
        <f t="shared" si="10"/>
        <v>5728.0499999999993</v>
      </c>
      <c r="K32" s="384">
        <f t="shared" si="10"/>
        <v>0.23766749734740847</v>
      </c>
      <c r="L32" s="384">
        <f t="shared" si="10"/>
        <v>0.19197695537905982</v>
      </c>
      <c r="M32" s="382">
        <f t="shared" si="10"/>
        <v>0.87621484527751825</v>
      </c>
      <c r="N32" s="382">
        <f t="shared" si="10"/>
        <v>0.87451191980626486</v>
      </c>
      <c r="O32" s="385">
        <f t="shared" si="10"/>
        <v>0.99823362756638589</v>
      </c>
    </row>
    <row r="33" spans="3:15" outlineLevel="2" x14ac:dyDescent="0.2">
      <c r="F33" s="368"/>
      <c r="G33" s="368"/>
      <c r="H33" s="368"/>
      <c r="I33" s="370"/>
      <c r="J33" s="370"/>
    </row>
    <row r="34" spans="3:15" outlineLevel="2" x14ac:dyDescent="0.2">
      <c r="C34" s="386"/>
      <c r="D34" s="387"/>
      <c r="E34" s="387"/>
      <c r="F34" s="388"/>
      <c r="G34" s="388"/>
      <c r="H34" s="388"/>
      <c r="I34" s="389"/>
      <c r="J34" s="389"/>
      <c r="K34" s="387"/>
      <c r="L34" s="387"/>
      <c r="M34" s="387"/>
      <c r="N34" s="390" t="s">
        <v>474</v>
      </c>
      <c r="O34" s="391" t="s">
        <v>475</v>
      </c>
    </row>
    <row r="35" spans="3:15" outlineLevel="2" x14ac:dyDescent="0.2">
      <c r="C35" s="392" t="s">
        <v>520</v>
      </c>
      <c r="D35" s="359"/>
      <c r="E35" s="359"/>
      <c r="F35" s="393"/>
      <c r="G35" s="393"/>
      <c r="H35" s="393"/>
      <c r="I35" s="394"/>
      <c r="J35" s="394"/>
      <c r="K35" s="359"/>
      <c r="L35" s="359"/>
      <c r="M35" s="359"/>
      <c r="N35" s="395">
        <f>MIN(M32:O32)</f>
        <v>0.87451191980626486</v>
      </c>
      <c r="O35" s="396">
        <f>MAX(M32:O32)</f>
        <v>0.99823362756638589</v>
      </c>
    </row>
    <row r="36" spans="3:15" outlineLevel="2" x14ac:dyDescent="0.2">
      <c r="C36" s="392" t="s">
        <v>521</v>
      </c>
      <c r="D36" s="359"/>
      <c r="E36" s="359"/>
      <c r="F36" s="393"/>
      <c r="G36" s="393"/>
      <c r="H36" s="393"/>
      <c r="I36" s="394"/>
      <c r="J36" s="394"/>
      <c r="K36" s="359"/>
      <c r="L36" s="359"/>
      <c r="M36" s="359"/>
      <c r="N36" s="397">
        <f>K32</f>
        <v>0.23766749734740847</v>
      </c>
      <c r="O36" s="398">
        <f>N36</f>
        <v>0.23766749734740847</v>
      </c>
    </row>
    <row r="37" spans="3:15" outlineLevel="2" x14ac:dyDescent="0.2">
      <c r="C37" s="399" t="s">
        <v>522</v>
      </c>
      <c r="D37" s="400"/>
      <c r="E37" s="400"/>
      <c r="F37" s="401"/>
      <c r="G37" s="401"/>
      <c r="H37" s="401"/>
      <c r="I37" s="402"/>
      <c r="J37" s="402"/>
      <c r="K37" s="400"/>
      <c r="L37" s="400"/>
      <c r="M37" s="400"/>
      <c r="N37" s="403">
        <f>N35*(1+(N36*(1-$F$3)))</f>
        <v>1.0387079367171226</v>
      </c>
      <c r="O37" s="404">
        <f>O35*(1+(O36*(1-$F$3)))</f>
        <v>1.1856593011114509</v>
      </c>
    </row>
    <row r="38" spans="3:15" ht="5.25" customHeight="1" x14ac:dyDescent="0.2">
      <c r="F38" s="406"/>
      <c r="G38" s="406"/>
      <c r="H38" s="406"/>
      <c r="I38" s="407"/>
      <c r="J38" s="407"/>
      <c r="N38" s="408"/>
      <c r="O38" s="408"/>
    </row>
    <row r="39" spans="3:15" ht="5.25" customHeight="1" x14ac:dyDescent="0.2"/>
    <row r="40" spans="3:15" x14ac:dyDescent="0.2">
      <c r="C40" s="372" t="s">
        <v>524</v>
      </c>
      <c r="D40" s="372"/>
      <c r="E40" s="372"/>
      <c r="F40" s="373"/>
      <c r="G40" s="373"/>
      <c r="H40" s="373"/>
      <c r="I40" s="374"/>
      <c r="J40" s="374"/>
      <c r="K40" s="372"/>
      <c r="L40" s="372"/>
      <c r="M40" s="372"/>
      <c r="N40" s="372"/>
      <c r="O40" s="372"/>
    </row>
    <row r="41" spans="3:15" ht="5.25" customHeight="1" x14ac:dyDescent="0.2"/>
    <row r="42" spans="3:15" x14ac:dyDescent="0.2">
      <c r="C42" s="375" t="s">
        <v>518</v>
      </c>
      <c r="D42" s="376"/>
      <c r="E42" s="376"/>
      <c r="F42" s="377">
        <f>AVERAGE(F10,F13,F14,F15,F16,F17,F27,F28,F29,F30)</f>
        <v>1.0409000000000002</v>
      </c>
      <c r="G42" s="377">
        <f t="shared" ref="G42:O42" si="11">AVERAGE(G10,G13,G14,G15,G16,G17,G27,G28,G29,G30)</f>
        <v>1.0192000000000001</v>
      </c>
      <c r="H42" s="377">
        <f t="shared" si="11"/>
        <v>1.2196</v>
      </c>
      <c r="I42" s="378">
        <f t="shared" si="11"/>
        <v>31898.814596160006</v>
      </c>
      <c r="J42" s="378">
        <f t="shared" si="11"/>
        <v>7991.6449999999995</v>
      </c>
      <c r="K42" s="379">
        <f t="shared" si="11"/>
        <v>0.24324729891285307</v>
      </c>
      <c r="L42" s="379">
        <f t="shared" si="11"/>
        <v>0.19031334332906519</v>
      </c>
      <c r="M42" s="377">
        <f t="shared" si="11"/>
        <v>0.86383076875102793</v>
      </c>
      <c r="N42" s="377">
        <f t="shared" si="11"/>
        <v>0.85709346064312997</v>
      </c>
      <c r="O42" s="405">
        <f t="shared" si="11"/>
        <v>1.0267812844006281</v>
      </c>
    </row>
    <row r="43" spans="3:15" x14ac:dyDescent="0.2">
      <c r="C43" s="380" t="s">
        <v>519</v>
      </c>
      <c r="D43" s="381"/>
      <c r="E43" s="381"/>
      <c r="F43" s="382">
        <f>MEDIAN(F10,F13,F14,F15,F16,F17,F27,F28,F29,F30)</f>
        <v>1.0819999999999999</v>
      </c>
      <c r="G43" s="382">
        <f t="shared" ref="G43:O43" si="12">MEDIAN(G10,G13,G14,G15,G16,G17,G27,G28,G29,G30)</f>
        <v>1.052</v>
      </c>
      <c r="H43" s="382">
        <f t="shared" si="12"/>
        <v>1.258</v>
      </c>
      <c r="I43" s="383">
        <f t="shared" si="12"/>
        <v>8222.07</v>
      </c>
      <c r="J43" s="383">
        <f t="shared" si="12"/>
        <v>1895.905</v>
      </c>
      <c r="K43" s="384">
        <f t="shared" si="12"/>
        <v>0.23766749734740847</v>
      </c>
      <c r="L43" s="384">
        <f t="shared" si="12"/>
        <v>0.19197695537905982</v>
      </c>
      <c r="M43" s="382">
        <f t="shared" si="12"/>
        <v>0.83700930283026054</v>
      </c>
      <c r="N43" s="382">
        <f t="shared" si="12"/>
        <v>0.86045931784752372</v>
      </c>
      <c r="O43" s="385">
        <f t="shared" si="12"/>
        <v>1.0148960567754051</v>
      </c>
    </row>
    <row r="44" spans="3:15" ht="5.25" customHeight="1" x14ac:dyDescent="0.2"/>
    <row r="45" spans="3:15" x14ac:dyDescent="0.2">
      <c r="C45" s="386"/>
      <c r="D45" s="387"/>
      <c r="E45" s="387"/>
      <c r="F45" s="388"/>
      <c r="G45" s="388"/>
      <c r="H45" s="388"/>
      <c r="I45" s="389"/>
      <c r="J45" s="389"/>
      <c r="K45" s="387"/>
      <c r="L45" s="387"/>
      <c r="M45" s="387"/>
      <c r="N45" s="390" t="s">
        <v>474</v>
      </c>
      <c r="O45" s="391" t="s">
        <v>475</v>
      </c>
    </row>
    <row r="46" spans="3:15" x14ac:dyDescent="0.2">
      <c r="C46" s="392" t="s">
        <v>520</v>
      </c>
      <c r="D46" s="359"/>
      <c r="E46" s="359"/>
      <c r="F46" s="393"/>
      <c r="G46" s="393"/>
      <c r="H46" s="393"/>
      <c r="I46" s="394"/>
      <c r="J46" s="394"/>
      <c r="K46" s="359"/>
      <c r="L46" s="359"/>
      <c r="M46" s="359"/>
      <c r="N46" s="395">
        <f>MIN(M43:O43)</f>
        <v>0.83700930283026054</v>
      </c>
      <c r="O46" s="396">
        <f>MAX(M43:O43)</f>
        <v>1.0148960567754051</v>
      </c>
    </row>
    <row r="47" spans="3:15" x14ac:dyDescent="0.2">
      <c r="C47" s="392" t="s">
        <v>521</v>
      </c>
      <c r="D47" s="359"/>
      <c r="E47" s="359"/>
      <c r="F47" s="393"/>
      <c r="G47" s="393"/>
      <c r="H47" s="393"/>
      <c r="I47" s="394"/>
      <c r="J47" s="394"/>
      <c r="K47" s="359"/>
      <c r="L47" s="359"/>
      <c r="M47" s="359"/>
      <c r="N47" s="397">
        <f>K43</f>
        <v>0.23766749734740847</v>
      </c>
      <c r="O47" s="398">
        <f>N47</f>
        <v>0.23766749734740847</v>
      </c>
    </row>
    <row r="48" spans="3:15" x14ac:dyDescent="0.2">
      <c r="C48" s="399" t="s">
        <v>522</v>
      </c>
      <c r="D48" s="400"/>
      <c r="E48" s="400"/>
      <c r="F48" s="401"/>
      <c r="G48" s="401"/>
      <c r="H48" s="401"/>
      <c r="I48" s="402"/>
      <c r="J48" s="402"/>
      <c r="K48" s="400"/>
      <c r="L48" s="400"/>
      <c r="M48" s="400"/>
      <c r="N48" s="409">
        <f>N46*(1+(N47*(1-$F$3)))</f>
        <v>0.99416392877579263</v>
      </c>
      <c r="O48" s="410">
        <f>O46*(1+(O47*(1-$F$3)))</f>
        <v>1.2054502234218405</v>
      </c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DF6C0-5041-4FD3-BF5E-F7A9B6CC5948}">
  <sheetPr>
    <tabColor rgb="FFC00000"/>
  </sheetPr>
  <dimension ref="B3:E29"/>
  <sheetViews>
    <sheetView showGridLines="0" workbookViewId="0"/>
  </sheetViews>
  <sheetFormatPr defaultRowHeight="12.75" x14ac:dyDescent="0.2"/>
  <cols>
    <col min="2" max="2" width="10.85546875" customWidth="1"/>
    <col min="3" max="3" width="10.5703125" customWidth="1"/>
    <col min="4" max="4" width="83.28515625" customWidth="1"/>
    <col min="5" max="5" width="85.140625" customWidth="1"/>
    <col min="6" max="6" width="32.42578125" customWidth="1"/>
  </cols>
  <sheetData>
    <row r="3" spans="2:5" ht="31.5" customHeight="1" x14ac:dyDescent="0.2">
      <c r="B3" s="278" t="s">
        <v>540</v>
      </c>
      <c r="C3" s="278" t="s">
        <v>541</v>
      </c>
      <c r="D3" s="278" t="s">
        <v>542</v>
      </c>
      <c r="E3" s="278" t="s">
        <v>543</v>
      </c>
    </row>
    <row r="4" spans="2:5" ht="25.5" customHeight="1" x14ac:dyDescent="0.2">
      <c r="B4" s="279" t="s">
        <v>71</v>
      </c>
      <c r="C4" s="280" t="s">
        <v>547</v>
      </c>
      <c r="D4" s="281" t="s">
        <v>595</v>
      </c>
      <c r="E4" s="281" t="s">
        <v>548</v>
      </c>
    </row>
    <row r="5" spans="2:5" ht="25.5" customHeight="1" x14ac:dyDescent="0.2">
      <c r="B5" s="279" t="s">
        <v>71</v>
      </c>
      <c r="C5" s="280" t="s">
        <v>591</v>
      </c>
      <c r="D5" s="281" t="s">
        <v>592</v>
      </c>
      <c r="E5" s="281" t="s">
        <v>593</v>
      </c>
    </row>
    <row r="6" spans="2:5" ht="24.75" customHeight="1" x14ac:dyDescent="0.2">
      <c r="B6" s="282" t="s">
        <v>71</v>
      </c>
      <c r="C6" s="283" t="s">
        <v>550</v>
      </c>
      <c r="D6" s="284" t="s">
        <v>549</v>
      </c>
      <c r="E6" s="284" t="s">
        <v>551</v>
      </c>
    </row>
    <row r="7" spans="2:5" ht="24.75" customHeight="1" x14ac:dyDescent="0.2">
      <c r="B7" s="282" t="s">
        <v>71</v>
      </c>
      <c r="C7" s="283" t="s">
        <v>552</v>
      </c>
      <c r="D7" s="284" t="s">
        <v>553</v>
      </c>
      <c r="E7" s="284" t="s">
        <v>556</v>
      </c>
    </row>
    <row r="8" spans="2:5" ht="24.75" customHeight="1" x14ac:dyDescent="0.2">
      <c r="B8" s="282" t="s">
        <v>71</v>
      </c>
      <c r="C8" s="283" t="s">
        <v>552</v>
      </c>
      <c r="D8" s="284" t="s">
        <v>558</v>
      </c>
      <c r="E8" s="284" t="s">
        <v>557</v>
      </c>
    </row>
    <row r="9" spans="2:5" ht="24.75" customHeight="1" x14ac:dyDescent="0.2">
      <c r="B9" s="282" t="s">
        <v>71</v>
      </c>
      <c r="C9" s="283" t="s">
        <v>559</v>
      </c>
      <c r="D9" s="284" t="s">
        <v>581</v>
      </c>
      <c r="E9" s="284" t="s">
        <v>582</v>
      </c>
    </row>
    <row r="10" spans="2:5" ht="24.75" customHeight="1" x14ac:dyDescent="0.2">
      <c r="B10" s="282" t="s">
        <v>71</v>
      </c>
      <c r="C10" s="283" t="s">
        <v>559</v>
      </c>
      <c r="D10" s="284" t="s">
        <v>560</v>
      </c>
      <c r="E10" s="284" t="s">
        <v>561</v>
      </c>
    </row>
    <row r="11" spans="2:5" ht="24.75" customHeight="1" x14ac:dyDescent="0.2">
      <c r="B11" s="282" t="s">
        <v>71</v>
      </c>
      <c r="C11" s="283" t="s">
        <v>559</v>
      </c>
      <c r="D11" s="284" t="s">
        <v>585</v>
      </c>
      <c r="E11" s="284" t="s">
        <v>582</v>
      </c>
    </row>
    <row r="12" spans="2:5" ht="24.75" customHeight="1" x14ac:dyDescent="0.2">
      <c r="B12" s="282" t="s">
        <v>71</v>
      </c>
      <c r="C12" s="283" t="s">
        <v>586</v>
      </c>
      <c r="D12" s="284" t="s">
        <v>587</v>
      </c>
      <c r="E12" s="284" t="s">
        <v>582</v>
      </c>
    </row>
    <row r="13" spans="2:5" ht="24.75" customHeight="1" x14ac:dyDescent="0.2">
      <c r="B13" s="282" t="s">
        <v>71</v>
      </c>
      <c r="C13" s="283" t="s">
        <v>562</v>
      </c>
      <c r="D13" s="284" t="s">
        <v>563</v>
      </c>
      <c r="E13" s="284" t="s">
        <v>564</v>
      </c>
    </row>
    <row r="14" spans="2:5" ht="24.75" customHeight="1" x14ac:dyDescent="0.2">
      <c r="B14" s="282" t="s">
        <v>72</v>
      </c>
      <c r="C14" s="283" t="s">
        <v>554</v>
      </c>
      <c r="D14" s="284" t="s">
        <v>555</v>
      </c>
      <c r="E14" s="284" t="s">
        <v>556</v>
      </c>
    </row>
    <row r="15" spans="2:5" ht="24.75" customHeight="1" x14ac:dyDescent="0.2">
      <c r="B15" s="282" t="s">
        <v>72</v>
      </c>
      <c r="C15" s="283" t="s">
        <v>546</v>
      </c>
      <c r="D15" s="282" t="s">
        <v>544</v>
      </c>
      <c r="E15" s="284" t="s">
        <v>545</v>
      </c>
    </row>
    <row r="16" spans="2:5" ht="25.5" customHeight="1" x14ac:dyDescent="0.2">
      <c r="B16" s="282" t="s">
        <v>72</v>
      </c>
      <c r="C16" s="283" t="s">
        <v>577</v>
      </c>
      <c r="D16" s="282" t="s">
        <v>578</v>
      </c>
      <c r="E16" s="284" t="s">
        <v>579</v>
      </c>
    </row>
    <row r="17" spans="2:5" ht="24.75" customHeight="1" x14ac:dyDescent="0.2">
      <c r="B17" s="282" t="s">
        <v>73</v>
      </c>
      <c r="C17" s="283" t="s">
        <v>575</v>
      </c>
      <c r="D17" s="282" t="s">
        <v>588</v>
      </c>
      <c r="E17" s="284" t="s">
        <v>576</v>
      </c>
    </row>
    <row r="18" spans="2:5" ht="24.75" customHeight="1" x14ac:dyDescent="0.2">
      <c r="B18" s="282" t="s">
        <v>73</v>
      </c>
      <c r="C18" s="283" t="s">
        <v>575</v>
      </c>
      <c r="D18" s="282" t="s">
        <v>589</v>
      </c>
      <c r="E18" s="284" t="s">
        <v>580</v>
      </c>
    </row>
    <row r="19" spans="2:5" ht="24.75" customHeight="1" x14ac:dyDescent="0.2">
      <c r="B19" s="282" t="s">
        <v>73</v>
      </c>
      <c r="C19" s="283" t="s">
        <v>575</v>
      </c>
      <c r="D19" s="282" t="s">
        <v>590</v>
      </c>
      <c r="E19" s="284" t="s">
        <v>580</v>
      </c>
    </row>
    <row r="20" spans="2:5" ht="24.75" customHeight="1" x14ac:dyDescent="0.2">
      <c r="B20" s="282" t="s">
        <v>39</v>
      </c>
      <c r="C20" s="283" t="s">
        <v>569</v>
      </c>
      <c r="D20" s="282" t="s">
        <v>568</v>
      </c>
      <c r="E20" s="284" t="s">
        <v>567</v>
      </c>
    </row>
    <row r="21" spans="2:5" ht="24.75" customHeight="1" x14ac:dyDescent="0.2">
      <c r="B21" s="285" t="s">
        <v>39</v>
      </c>
      <c r="C21" s="286" t="s">
        <v>569</v>
      </c>
      <c r="D21" s="285" t="s">
        <v>584</v>
      </c>
      <c r="E21" s="287" t="s">
        <v>582</v>
      </c>
    </row>
    <row r="22" spans="2:5" ht="24.75" customHeight="1" x14ac:dyDescent="0.2">
      <c r="B22" s="285" t="s">
        <v>39</v>
      </c>
      <c r="C22" s="286" t="s">
        <v>569</v>
      </c>
      <c r="D22" s="285" t="s">
        <v>594</v>
      </c>
      <c r="E22" s="287" t="s">
        <v>582</v>
      </c>
    </row>
    <row r="23" spans="2:5" ht="25.5" customHeight="1" x14ac:dyDescent="0.2">
      <c r="B23" s="285" t="s">
        <v>74</v>
      </c>
      <c r="C23" s="286" t="s">
        <v>583</v>
      </c>
      <c r="D23" s="287" t="s">
        <v>565</v>
      </c>
      <c r="E23" s="287" t="s">
        <v>566</v>
      </c>
    </row>
    <row r="24" spans="2:5" ht="44.25" customHeight="1" x14ac:dyDescent="0.2"/>
    <row r="25" spans="2:5" ht="44.25" customHeight="1" x14ac:dyDescent="0.2"/>
    <row r="26" spans="2:5" ht="44.25" customHeight="1" x14ac:dyDescent="0.2"/>
    <row r="27" spans="2:5" ht="44.25" customHeight="1" x14ac:dyDescent="0.2"/>
    <row r="28" spans="2:5" ht="44.25" customHeight="1" x14ac:dyDescent="0.2"/>
    <row r="29" spans="2:5" ht="44.25" customHeight="1" x14ac:dyDescent="0.2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F7BEC-A348-4145-8005-CD49E0D15049}">
  <sheetPr>
    <tabColor theme="6" tint="-0.249977111117893"/>
  </sheetPr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157EC-E8C3-4978-8D59-0231A4D0F74B}">
  <sheetPr>
    <tabColor theme="6" tint="-0.249977111117893"/>
  </sheetPr>
  <dimension ref="B2:O43"/>
  <sheetViews>
    <sheetView showGridLines="0" workbookViewId="0"/>
  </sheetViews>
  <sheetFormatPr defaultRowHeight="12.75" x14ac:dyDescent="0.2"/>
  <cols>
    <col min="2" max="2" width="11.85546875" bestFit="1" customWidth="1"/>
    <col min="12" max="12" width="30.28515625" customWidth="1"/>
    <col min="13" max="13" width="17.5703125" customWidth="1"/>
    <col min="14" max="14" width="19" customWidth="1"/>
    <col min="15" max="15" width="14.7109375" customWidth="1"/>
  </cols>
  <sheetData>
    <row r="2" spans="2:6" x14ac:dyDescent="0.2">
      <c r="B2" s="1" t="s">
        <v>466</v>
      </c>
      <c r="C2" s="1"/>
      <c r="E2" s="1" t="s">
        <v>467</v>
      </c>
      <c r="F2" s="1"/>
    </row>
    <row r="4" spans="2:6" x14ac:dyDescent="0.2">
      <c r="B4" s="20" t="s">
        <v>465</v>
      </c>
      <c r="C4" s="20" t="s">
        <v>462</v>
      </c>
      <c r="E4" s="20" t="s">
        <v>465</v>
      </c>
      <c r="F4" s="20" t="s">
        <v>462</v>
      </c>
    </row>
    <row r="5" spans="2:6" x14ac:dyDescent="0.2">
      <c r="B5" t="s">
        <v>85</v>
      </c>
      <c r="C5">
        <v>235</v>
      </c>
      <c r="E5" t="s">
        <v>85</v>
      </c>
    </row>
    <row r="6" spans="2:6" x14ac:dyDescent="0.2">
      <c r="B6" t="s">
        <v>8</v>
      </c>
      <c r="C6">
        <v>40</v>
      </c>
      <c r="E6" t="s">
        <v>8</v>
      </c>
    </row>
    <row r="7" spans="2:6" x14ac:dyDescent="0.2">
      <c r="B7" t="s">
        <v>10</v>
      </c>
      <c r="C7">
        <v>190</v>
      </c>
      <c r="E7" t="s">
        <v>10</v>
      </c>
    </row>
    <row r="8" spans="2:6" x14ac:dyDescent="0.2">
      <c r="B8" s="2" t="s">
        <v>19</v>
      </c>
      <c r="C8">
        <v>20</v>
      </c>
      <c r="E8" s="2" t="s">
        <v>19</v>
      </c>
      <c r="F8">
        <v>100</v>
      </c>
    </row>
    <row r="9" spans="2:6" x14ac:dyDescent="0.2">
      <c r="B9" t="s">
        <v>12</v>
      </c>
      <c r="C9">
        <v>10</v>
      </c>
      <c r="E9" t="s">
        <v>12</v>
      </c>
    </row>
    <row r="11" spans="2:6" x14ac:dyDescent="0.2">
      <c r="B11" s="20" t="s">
        <v>463</v>
      </c>
      <c r="C11" s="130"/>
      <c r="E11" s="20" t="s">
        <v>463</v>
      </c>
      <c r="F11" s="130"/>
    </row>
    <row r="12" spans="2:6" x14ac:dyDescent="0.2">
      <c r="B12" t="s">
        <v>85</v>
      </c>
      <c r="C12" s="129">
        <f>Model!B68</f>
        <v>0.23</v>
      </c>
      <c r="E12" t="s">
        <v>85</v>
      </c>
      <c r="F12" s="259">
        <f>C12</f>
        <v>0.23</v>
      </c>
    </row>
    <row r="13" spans="2:6" x14ac:dyDescent="0.2">
      <c r="B13" t="s">
        <v>8</v>
      </c>
      <c r="C13" s="129">
        <f>Model!B70</f>
        <v>4.5999999999999999E-2</v>
      </c>
      <c r="E13" t="s">
        <v>8</v>
      </c>
      <c r="F13" s="259">
        <f t="shared" ref="F13:F16" si="0">C13</f>
        <v>4.5999999999999999E-2</v>
      </c>
    </row>
    <row r="14" spans="2:6" x14ac:dyDescent="0.2">
      <c r="B14" t="s">
        <v>10</v>
      </c>
      <c r="C14" s="129">
        <f>Model!B59</f>
        <v>0.27500000000000002</v>
      </c>
      <c r="E14" t="s">
        <v>10</v>
      </c>
      <c r="F14" s="259">
        <f t="shared" si="0"/>
        <v>0.27500000000000002</v>
      </c>
    </row>
    <row r="15" spans="2:6" x14ac:dyDescent="0.2">
      <c r="B15" s="2" t="s">
        <v>19</v>
      </c>
      <c r="C15" s="129">
        <f>Model!B64</f>
        <v>0.21</v>
      </c>
      <c r="E15" s="2" t="s">
        <v>19</v>
      </c>
      <c r="F15" s="259">
        <f t="shared" si="0"/>
        <v>0.21</v>
      </c>
    </row>
    <row r="16" spans="2:6" x14ac:dyDescent="0.2">
      <c r="B16" t="s">
        <v>12</v>
      </c>
      <c r="C16" s="129">
        <f>Model!B63</f>
        <v>0.43</v>
      </c>
      <c r="E16" t="s">
        <v>12</v>
      </c>
      <c r="F16" s="259">
        <f t="shared" si="0"/>
        <v>0.43</v>
      </c>
    </row>
    <row r="18" spans="2:15" x14ac:dyDescent="0.2">
      <c r="B18" s="20" t="s">
        <v>464</v>
      </c>
      <c r="C18" s="20"/>
      <c r="E18" s="20" t="s">
        <v>464</v>
      </c>
      <c r="F18" s="20"/>
    </row>
    <row r="19" spans="2:15" x14ac:dyDescent="0.2">
      <c r="B19" t="s">
        <v>85</v>
      </c>
      <c r="C19" s="257">
        <f>C12*C5</f>
        <v>54.050000000000004</v>
      </c>
      <c r="E19" t="s">
        <v>85</v>
      </c>
      <c r="F19" s="257">
        <f>F12*F5</f>
        <v>0</v>
      </c>
    </row>
    <row r="20" spans="2:15" x14ac:dyDescent="0.2">
      <c r="B20" t="s">
        <v>8</v>
      </c>
      <c r="C20" s="257">
        <f t="shared" ref="C20:C23" si="1">C13*C6</f>
        <v>1.8399999999999999</v>
      </c>
      <c r="E20" t="s">
        <v>8</v>
      </c>
      <c r="F20" s="257">
        <f t="shared" ref="F20:F23" si="2">F13*F6</f>
        <v>0</v>
      </c>
    </row>
    <row r="21" spans="2:15" x14ac:dyDescent="0.2">
      <c r="B21" t="s">
        <v>10</v>
      </c>
      <c r="C21" s="257">
        <f t="shared" si="1"/>
        <v>52.250000000000007</v>
      </c>
      <c r="E21" t="s">
        <v>10</v>
      </c>
      <c r="F21" s="257">
        <f t="shared" si="2"/>
        <v>0</v>
      </c>
    </row>
    <row r="22" spans="2:15" x14ac:dyDescent="0.2">
      <c r="B22" s="2" t="s">
        <v>19</v>
      </c>
      <c r="C22" s="257">
        <f t="shared" si="1"/>
        <v>4.2</v>
      </c>
      <c r="E22" s="2" t="s">
        <v>19</v>
      </c>
      <c r="F22" s="257">
        <f t="shared" si="2"/>
        <v>21</v>
      </c>
    </row>
    <row r="23" spans="2:15" x14ac:dyDescent="0.2">
      <c r="B23" t="s">
        <v>12</v>
      </c>
      <c r="C23" s="257">
        <f t="shared" si="1"/>
        <v>4.3</v>
      </c>
      <c r="E23" t="s">
        <v>12</v>
      </c>
      <c r="F23" s="257">
        <f t="shared" si="2"/>
        <v>0</v>
      </c>
    </row>
    <row r="24" spans="2:15" x14ac:dyDescent="0.2">
      <c r="B24" s="12" t="s">
        <v>65</v>
      </c>
      <c r="C24" s="258">
        <f>SUM(C19:C23)</f>
        <v>116.64000000000001</v>
      </c>
      <c r="E24" s="12" t="s">
        <v>65</v>
      </c>
      <c r="F24" s="258">
        <f>SUM(F19:F23)</f>
        <v>21</v>
      </c>
      <c r="H24" s="260">
        <f>C24/F24</f>
        <v>5.5542857142857152</v>
      </c>
    </row>
    <row r="30" spans="2:15" x14ac:dyDescent="0.2">
      <c r="L30" s="20" t="s">
        <v>469</v>
      </c>
      <c r="M30" s="20"/>
      <c r="N30" s="20"/>
      <c r="O30" s="20"/>
    </row>
    <row r="31" spans="2:15" ht="33" customHeight="1" x14ac:dyDescent="0.2">
      <c r="L31" s="4"/>
      <c r="M31" s="265" t="s">
        <v>478</v>
      </c>
      <c r="N31" s="265" t="s">
        <v>479</v>
      </c>
      <c r="O31" s="265" t="s">
        <v>480</v>
      </c>
    </row>
    <row r="32" spans="2:15" x14ac:dyDescent="0.2">
      <c r="L32" t="s">
        <v>13</v>
      </c>
      <c r="M32">
        <v>179.54</v>
      </c>
      <c r="N32">
        <v>187.13</v>
      </c>
      <c r="O32" s="262">
        <f>N32/M32-1</f>
        <v>4.227470201626371E-2</v>
      </c>
    </row>
    <row r="33" spans="12:15" x14ac:dyDescent="0.2">
      <c r="L33" t="s">
        <v>468</v>
      </c>
      <c r="M33">
        <v>92.92</v>
      </c>
      <c r="N33">
        <v>95.92</v>
      </c>
      <c r="O33" s="262">
        <f>N33/M33-1</f>
        <v>3.228583727938017E-2</v>
      </c>
    </row>
    <row r="34" spans="12:15" x14ac:dyDescent="0.2">
      <c r="L34" s="12" t="s">
        <v>473</v>
      </c>
      <c r="M34" s="12"/>
      <c r="N34" s="12"/>
      <c r="O34" s="263">
        <f>AVERAGE(O32:O33)</f>
        <v>3.728026964782194E-2</v>
      </c>
    </row>
    <row r="36" spans="12:15" x14ac:dyDescent="0.2">
      <c r="L36" s="266" t="s">
        <v>476</v>
      </c>
      <c r="M36" s="20"/>
      <c r="N36" s="20"/>
      <c r="O36" s="20"/>
    </row>
    <row r="37" spans="12:15" x14ac:dyDescent="0.2">
      <c r="L37" t="s">
        <v>470</v>
      </c>
      <c r="O37" s="257">
        <f>F24</f>
        <v>21</v>
      </c>
    </row>
    <row r="38" spans="12:15" x14ac:dyDescent="0.2">
      <c r="L38" t="s">
        <v>471</v>
      </c>
      <c r="O38" s="257">
        <f>C24</f>
        <v>116.64000000000001</v>
      </c>
    </row>
    <row r="39" spans="12:15" x14ac:dyDescent="0.2">
      <c r="L39" s="12" t="s">
        <v>472</v>
      </c>
      <c r="M39" s="12"/>
      <c r="N39" s="12"/>
      <c r="O39" s="261">
        <f>O38/O37</f>
        <v>5.5542857142857152</v>
      </c>
    </row>
    <row r="41" spans="12:15" x14ac:dyDescent="0.2">
      <c r="L41" s="264" t="s">
        <v>574</v>
      </c>
      <c r="O41" s="32">
        <v>-0.5</v>
      </c>
    </row>
    <row r="42" spans="12:15" ht="13.5" thickBot="1" x14ac:dyDescent="0.25"/>
    <row r="43" spans="12:15" ht="27" customHeight="1" thickBot="1" x14ac:dyDescent="0.25">
      <c r="L43" s="267" t="s">
        <v>477</v>
      </c>
      <c r="M43" s="268"/>
      <c r="N43" s="268"/>
      <c r="O43" s="269">
        <f>O39*(1+O41)*O33</f>
        <v>8.9662382387307227E-2</v>
      </c>
    </row>
  </sheetData>
  <mergeCells count="1">
    <mergeCell ref="L43:N4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FFB36-CEB0-4A7C-AF29-06F4B0DF76F2}">
  <sheetPr>
    <tabColor theme="6" tint="-0.249977111117893"/>
    <outlinePr summaryBelow="0" summaryRight="0"/>
  </sheetPr>
  <dimension ref="A1:Z1000"/>
  <sheetViews>
    <sheetView workbookViewId="0">
      <selection activeCell="A47" sqref="A47:A48"/>
    </sheetView>
  </sheetViews>
  <sheetFormatPr defaultColWidth="14.42578125" defaultRowHeight="15" customHeight="1" x14ac:dyDescent="0.2"/>
  <cols>
    <col min="1" max="1" width="31.85546875" style="16" customWidth="1"/>
    <col min="2" max="16384" width="14.42578125" style="16"/>
  </cols>
  <sheetData>
    <row r="1" spans="1:26" ht="15" customHeight="1" x14ac:dyDescent="0.2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ht="15" customHeight="1" x14ac:dyDescent="0.2">
      <c r="A2" s="15" t="s">
        <v>117</v>
      </c>
      <c r="B2" s="17" t="s">
        <v>6</v>
      </c>
      <c r="C2" s="17" t="s">
        <v>118</v>
      </c>
      <c r="D2" s="17" t="s">
        <v>7</v>
      </c>
      <c r="E2" s="17" t="s">
        <v>119</v>
      </c>
      <c r="F2" s="17" t="s">
        <v>8</v>
      </c>
      <c r="G2" s="17" t="s">
        <v>9</v>
      </c>
      <c r="H2" s="17" t="s">
        <v>65</v>
      </c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spans="1:26" ht="15" customHeight="1" x14ac:dyDescent="0.2">
      <c r="A3" s="18"/>
      <c r="B3" s="17">
        <v>50</v>
      </c>
      <c r="C3" s="17">
        <v>483</v>
      </c>
      <c r="D3" s="17">
        <v>18</v>
      </c>
      <c r="E3" s="19"/>
      <c r="F3" s="17">
        <v>53</v>
      </c>
      <c r="G3" s="17">
        <v>5</v>
      </c>
      <c r="H3" s="17">
        <f>SUM(B3:G3)</f>
        <v>609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6" ht="15" customHeight="1" x14ac:dyDescent="0.2">
      <c r="A4" s="15"/>
      <c r="B4" s="19"/>
      <c r="C4" s="19"/>
      <c r="D4" s="19"/>
      <c r="E4" s="19"/>
      <c r="F4" s="19"/>
      <c r="G4" s="19"/>
      <c r="H4" s="19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spans="1:26" ht="15" customHeight="1" x14ac:dyDescent="0.2">
      <c r="A5" s="15" t="s">
        <v>120</v>
      </c>
      <c r="B5" s="17" t="s">
        <v>6</v>
      </c>
      <c r="C5" s="17" t="s">
        <v>118</v>
      </c>
      <c r="D5" s="17" t="s">
        <v>7</v>
      </c>
      <c r="E5" s="17" t="s">
        <v>119</v>
      </c>
      <c r="F5" s="17" t="s">
        <v>8</v>
      </c>
      <c r="G5" s="17" t="s">
        <v>9</v>
      </c>
      <c r="H5" s="17" t="s">
        <v>65</v>
      </c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spans="1:26" ht="15" customHeight="1" x14ac:dyDescent="0.2">
      <c r="A6" s="18"/>
      <c r="B6" s="17">
        <v>38</v>
      </c>
      <c r="C6" s="17">
        <v>446</v>
      </c>
      <c r="D6" s="17">
        <v>19</v>
      </c>
      <c r="E6" s="19"/>
      <c r="F6" s="17">
        <v>59</v>
      </c>
      <c r="G6" s="17">
        <v>4</v>
      </c>
      <c r="H6" s="17">
        <f>SUM(B6:G6)</f>
        <v>566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spans="1:26" ht="15" customHeight="1" x14ac:dyDescent="0.2">
      <c r="A7" s="15"/>
      <c r="B7" s="19"/>
      <c r="C7" s="19"/>
      <c r="D7" s="19"/>
      <c r="E7" s="19"/>
      <c r="F7" s="19"/>
      <c r="G7" s="19"/>
      <c r="H7" s="19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spans="1:26" ht="15" customHeight="1" x14ac:dyDescent="0.2">
      <c r="A8" s="15" t="s">
        <v>121</v>
      </c>
      <c r="B8" s="17" t="s">
        <v>6</v>
      </c>
      <c r="C8" s="17" t="s">
        <v>118</v>
      </c>
      <c r="D8" s="17" t="s">
        <v>7</v>
      </c>
      <c r="E8" s="17" t="s">
        <v>119</v>
      </c>
      <c r="F8" s="17" t="s">
        <v>8</v>
      </c>
      <c r="G8" s="17" t="s">
        <v>9</v>
      </c>
      <c r="H8" s="17" t="s">
        <v>65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pans="1:26" ht="15" customHeight="1" x14ac:dyDescent="0.2">
      <c r="A9" s="18"/>
      <c r="B9" s="17">
        <v>48</v>
      </c>
      <c r="C9" s="17">
        <v>642</v>
      </c>
      <c r="D9" s="17">
        <v>53</v>
      </c>
      <c r="E9" s="19"/>
      <c r="F9" s="17">
        <v>112</v>
      </c>
      <c r="G9" s="17">
        <v>8</v>
      </c>
      <c r="H9" s="17">
        <f>SUM(B9:G9)</f>
        <v>863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5" customHeight="1" x14ac:dyDescent="0.2">
      <c r="A10" s="15"/>
      <c r="B10" s="19"/>
      <c r="C10" s="19"/>
      <c r="D10" s="19"/>
      <c r="E10" s="19"/>
      <c r="F10" s="19"/>
      <c r="G10" s="19"/>
      <c r="H10" s="19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spans="1:26" ht="15" customHeight="1" x14ac:dyDescent="0.2">
      <c r="A11" s="15" t="s">
        <v>122</v>
      </c>
      <c r="B11" s="17" t="s">
        <v>6</v>
      </c>
      <c r="C11" s="17" t="s">
        <v>118</v>
      </c>
      <c r="D11" s="17" t="s">
        <v>7</v>
      </c>
      <c r="E11" s="17" t="s">
        <v>119</v>
      </c>
      <c r="F11" s="17" t="s">
        <v>8</v>
      </c>
      <c r="G11" s="17" t="s">
        <v>9</v>
      </c>
      <c r="H11" s="17" t="s">
        <v>65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1:26" ht="15" customHeight="1" x14ac:dyDescent="0.2">
      <c r="A12" s="18"/>
      <c r="B12" s="17">
        <v>20</v>
      </c>
      <c r="C12" s="17">
        <v>626</v>
      </c>
      <c r="D12" s="17">
        <v>49</v>
      </c>
      <c r="E12" s="19"/>
      <c r="F12" s="17">
        <v>93</v>
      </c>
      <c r="G12" s="17">
        <v>12</v>
      </c>
      <c r="H12" s="17">
        <f>SUM(B12:G12)</f>
        <v>800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spans="1:26" ht="15" customHeight="1" x14ac:dyDescent="0.2">
      <c r="A13" s="15"/>
      <c r="B13" s="19"/>
      <c r="C13" s="19"/>
      <c r="D13" s="19"/>
      <c r="E13" s="19"/>
      <c r="F13" s="19"/>
      <c r="G13" s="19"/>
      <c r="H13" s="19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spans="1:26" ht="15" customHeight="1" x14ac:dyDescent="0.2">
      <c r="A14" s="15" t="s">
        <v>123</v>
      </c>
      <c r="B14" s="19"/>
      <c r="C14" s="17" t="s">
        <v>118</v>
      </c>
      <c r="D14" s="17" t="s">
        <v>7</v>
      </c>
      <c r="E14" s="17" t="s">
        <v>119</v>
      </c>
      <c r="F14" s="17" t="s">
        <v>8</v>
      </c>
      <c r="G14" s="17" t="s">
        <v>9</v>
      </c>
      <c r="H14" s="17" t="s">
        <v>65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spans="1:26" ht="15" customHeight="1" x14ac:dyDescent="0.2">
      <c r="A15" s="18"/>
      <c r="B15" s="19"/>
      <c r="C15" s="17">
        <v>558</v>
      </c>
      <c r="D15" s="17">
        <v>67</v>
      </c>
      <c r="E15" s="19"/>
      <c r="F15" s="17">
        <v>78</v>
      </c>
      <c r="G15" s="17">
        <v>15</v>
      </c>
      <c r="H15" s="17">
        <f>SUM(B15:G15)</f>
        <v>718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spans="1:26" ht="15" customHeight="1" x14ac:dyDescent="0.2">
      <c r="A16" s="15"/>
      <c r="B16" s="19"/>
      <c r="C16" s="19"/>
      <c r="D16" s="19"/>
      <c r="E16" s="19"/>
      <c r="F16" s="19"/>
      <c r="G16" s="19"/>
      <c r="H16" s="19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6" ht="15" customHeight="1" x14ac:dyDescent="0.2">
      <c r="A17" s="15" t="s">
        <v>124</v>
      </c>
      <c r="B17" s="19"/>
      <c r="C17" s="17" t="s">
        <v>118</v>
      </c>
      <c r="D17" s="17" t="s">
        <v>7</v>
      </c>
      <c r="E17" s="17" t="s">
        <v>119</v>
      </c>
      <c r="F17" s="17" t="s">
        <v>8</v>
      </c>
      <c r="G17" s="17" t="s">
        <v>9</v>
      </c>
      <c r="H17" s="17" t="s">
        <v>65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spans="1:26" ht="15" customHeight="1" x14ac:dyDescent="0.2">
      <c r="A18" s="18"/>
      <c r="B18" s="19"/>
      <c r="C18" s="17">
        <v>545</v>
      </c>
      <c r="D18" s="17">
        <v>66</v>
      </c>
      <c r="E18" s="19"/>
      <c r="F18" s="17">
        <v>49</v>
      </c>
      <c r="G18" s="17">
        <v>28</v>
      </c>
      <c r="H18" s="17">
        <f>SUM(B18:G18)</f>
        <v>688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spans="1:26" ht="15" customHeight="1" x14ac:dyDescent="0.2">
      <c r="A19" s="15"/>
      <c r="B19" s="19"/>
      <c r="C19" s="19"/>
      <c r="D19" s="19"/>
      <c r="E19" s="19"/>
      <c r="F19" s="19"/>
      <c r="G19" s="19"/>
      <c r="H19" s="19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spans="1:26" ht="15" customHeight="1" x14ac:dyDescent="0.2">
      <c r="A20" s="15" t="s">
        <v>125</v>
      </c>
      <c r="B20" s="19"/>
      <c r="C20" s="17" t="s">
        <v>118</v>
      </c>
      <c r="D20" s="17" t="s">
        <v>7</v>
      </c>
      <c r="E20" s="17" t="s">
        <v>119</v>
      </c>
      <c r="F20" s="17" t="s">
        <v>8</v>
      </c>
      <c r="G20" s="17" t="s">
        <v>9</v>
      </c>
      <c r="H20" s="17" t="s">
        <v>65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spans="1:26" ht="15" customHeight="1" x14ac:dyDescent="0.2">
      <c r="A21" s="18"/>
      <c r="B21" s="19"/>
      <c r="C21" s="17">
        <v>491</v>
      </c>
      <c r="D21" s="17">
        <v>103</v>
      </c>
      <c r="E21" s="19"/>
      <c r="F21" s="17">
        <v>14</v>
      </c>
      <c r="G21" s="17">
        <v>27</v>
      </c>
      <c r="H21" s="17">
        <f>SUM(B21:G21)</f>
        <v>635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spans="1:26" ht="15" customHeight="1" x14ac:dyDescent="0.2">
      <c r="A22" s="15"/>
      <c r="B22" s="19"/>
      <c r="C22" s="19"/>
      <c r="D22" s="19"/>
      <c r="E22" s="19"/>
      <c r="F22" s="19"/>
      <c r="G22" s="19"/>
      <c r="H22" s="19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pans="1:26" ht="15" customHeight="1" x14ac:dyDescent="0.2">
      <c r="A23" s="15" t="s">
        <v>126</v>
      </c>
      <c r="B23" s="19"/>
      <c r="C23" s="17" t="s">
        <v>118</v>
      </c>
      <c r="D23" s="17" t="s">
        <v>7</v>
      </c>
      <c r="E23" s="17" t="s">
        <v>119</v>
      </c>
      <c r="F23" s="17" t="s">
        <v>8</v>
      </c>
      <c r="G23" s="17" t="s">
        <v>9</v>
      </c>
      <c r="H23" s="17" t="s">
        <v>65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spans="1:26" ht="15" customHeight="1" x14ac:dyDescent="0.2">
      <c r="A24" s="18"/>
      <c r="B24" s="19"/>
      <c r="C24" s="17">
        <v>490</v>
      </c>
      <c r="D24" s="17">
        <v>108</v>
      </c>
      <c r="E24" s="19"/>
      <c r="F24" s="17">
        <v>1</v>
      </c>
      <c r="G24" s="17">
        <v>30</v>
      </c>
      <c r="H24" s="17">
        <f>SUM(B24:G24)</f>
        <v>629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spans="1:26" ht="15" customHeight="1" x14ac:dyDescent="0.2">
      <c r="A25" s="15"/>
      <c r="B25" s="19"/>
      <c r="C25" s="19"/>
      <c r="D25" s="19"/>
      <c r="E25" s="19"/>
      <c r="F25" s="19"/>
      <c r="G25" s="19"/>
      <c r="H25" s="19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spans="1:26" ht="15" customHeight="1" x14ac:dyDescent="0.2">
      <c r="A26" s="15" t="s">
        <v>127</v>
      </c>
      <c r="B26" s="19"/>
      <c r="C26" s="17" t="s">
        <v>118</v>
      </c>
      <c r="D26" s="17" t="s">
        <v>7</v>
      </c>
      <c r="E26" s="17" t="s">
        <v>119</v>
      </c>
      <c r="F26" s="17" t="s">
        <v>8</v>
      </c>
      <c r="G26" s="17" t="s">
        <v>9</v>
      </c>
      <c r="H26" s="17" t="s">
        <v>65</v>
      </c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spans="1:26" ht="15" customHeight="1" x14ac:dyDescent="0.2">
      <c r="A27" s="18"/>
      <c r="B27" s="19"/>
      <c r="C27" s="17">
        <v>493</v>
      </c>
      <c r="D27" s="17">
        <v>108</v>
      </c>
      <c r="E27" s="19"/>
      <c r="F27" s="17"/>
      <c r="G27" s="17">
        <v>25</v>
      </c>
      <c r="H27" s="17">
        <f>SUM(B27:G27)</f>
        <v>626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spans="1:26" ht="15" customHeight="1" x14ac:dyDescent="0.2">
      <c r="A28" s="15"/>
      <c r="B28" s="19"/>
      <c r="C28" s="19"/>
      <c r="D28" s="19"/>
      <c r="E28" s="19"/>
      <c r="F28" s="19"/>
      <c r="G28" s="19"/>
      <c r="H28" s="19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spans="1:26" ht="15" customHeight="1" x14ac:dyDescent="0.2">
      <c r="A29" s="15" t="s">
        <v>128</v>
      </c>
      <c r="B29" s="19"/>
      <c r="C29" s="17" t="s">
        <v>118</v>
      </c>
      <c r="D29" s="17" t="s">
        <v>7</v>
      </c>
      <c r="E29" s="17" t="s">
        <v>119</v>
      </c>
      <c r="F29" s="17" t="s">
        <v>8</v>
      </c>
      <c r="G29" s="17" t="s">
        <v>9</v>
      </c>
      <c r="H29" s="17" t="s">
        <v>65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spans="1:26" ht="15" customHeight="1" x14ac:dyDescent="0.2">
      <c r="A30" s="18"/>
      <c r="B30" s="19"/>
      <c r="C30" s="17">
        <v>455</v>
      </c>
      <c r="D30" s="17">
        <v>101</v>
      </c>
      <c r="E30" s="17">
        <v>2</v>
      </c>
      <c r="F30" s="17"/>
      <c r="G30" s="17">
        <v>30</v>
      </c>
      <c r="H30" s="17">
        <f>SUM(B30:G30)</f>
        <v>588</v>
      </c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spans="1:26" ht="15" customHeight="1" x14ac:dyDescent="0.2">
      <c r="A31" s="15"/>
      <c r="B31" s="19"/>
      <c r="C31" s="19"/>
      <c r="D31" s="19"/>
      <c r="E31" s="19"/>
      <c r="F31" s="19"/>
      <c r="G31" s="19"/>
      <c r="H31" s="19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spans="1:26" ht="15" customHeight="1" x14ac:dyDescent="0.2">
      <c r="A32" s="15" t="s">
        <v>129</v>
      </c>
      <c r="B32" s="19"/>
      <c r="C32" s="17" t="s">
        <v>118</v>
      </c>
      <c r="D32" s="17" t="s">
        <v>7</v>
      </c>
      <c r="E32" s="17" t="s">
        <v>119</v>
      </c>
      <c r="F32" s="17" t="s">
        <v>8</v>
      </c>
      <c r="G32" s="17" t="s">
        <v>9</v>
      </c>
      <c r="H32" s="17" t="s">
        <v>65</v>
      </c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spans="1:26" ht="15" customHeight="1" x14ac:dyDescent="0.2">
      <c r="A33" s="18"/>
      <c r="B33" s="19"/>
      <c r="C33" s="17">
        <v>421</v>
      </c>
      <c r="D33" s="17">
        <v>85</v>
      </c>
      <c r="E33" s="17">
        <v>2</v>
      </c>
      <c r="F33" s="17"/>
      <c r="G33" s="17">
        <v>26</v>
      </c>
      <c r="H33" s="17">
        <f>SUM(B33:G33)</f>
        <v>534</v>
      </c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spans="1:26" ht="15" customHeight="1" x14ac:dyDescent="0.2">
      <c r="A34" s="15"/>
      <c r="B34" s="19"/>
      <c r="C34" s="19"/>
      <c r="D34" s="19"/>
      <c r="E34" s="19"/>
      <c r="F34" s="19"/>
      <c r="G34" s="19"/>
      <c r="H34" s="19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spans="1:26" ht="15" customHeight="1" x14ac:dyDescent="0.2">
      <c r="A35" s="15" t="s">
        <v>130</v>
      </c>
      <c r="B35" s="19"/>
      <c r="C35" s="17" t="s">
        <v>118</v>
      </c>
      <c r="D35" s="17" t="s">
        <v>7</v>
      </c>
      <c r="E35" s="17" t="s">
        <v>119</v>
      </c>
      <c r="F35" s="17" t="s">
        <v>8</v>
      </c>
      <c r="G35" s="17" t="s">
        <v>9</v>
      </c>
      <c r="H35" s="17" t="s">
        <v>65</v>
      </c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spans="1:26" ht="15" customHeight="1" x14ac:dyDescent="0.2">
      <c r="A36" s="18"/>
      <c r="B36" s="19"/>
      <c r="C36" s="17">
        <v>401</v>
      </c>
      <c r="D36" s="17">
        <v>87</v>
      </c>
      <c r="E36" s="17">
        <v>4</v>
      </c>
      <c r="F36" s="17"/>
      <c r="G36" s="17">
        <v>18</v>
      </c>
      <c r="H36" s="17">
        <f>SUM(B36:G36)</f>
        <v>510</v>
      </c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spans="1:26" ht="15" customHeight="1" x14ac:dyDescent="0.2">
      <c r="A37" s="15"/>
      <c r="B37" s="19"/>
      <c r="C37" s="19"/>
      <c r="D37" s="19"/>
      <c r="E37" s="19"/>
      <c r="F37" s="19"/>
      <c r="G37" s="19"/>
      <c r="H37" s="19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spans="1:26" ht="15" customHeight="1" x14ac:dyDescent="0.2">
      <c r="A38" s="15" t="s">
        <v>131</v>
      </c>
      <c r="B38" s="19"/>
      <c r="C38" s="17" t="s">
        <v>118</v>
      </c>
      <c r="D38" s="17" t="s">
        <v>7</v>
      </c>
      <c r="E38" s="17" t="s">
        <v>119</v>
      </c>
      <c r="F38" s="17" t="s">
        <v>8</v>
      </c>
      <c r="G38" s="17" t="s">
        <v>9</v>
      </c>
      <c r="H38" s="17" t="s">
        <v>65</v>
      </c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spans="1:26" ht="15" customHeight="1" x14ac:dyDescent="0.2">
      <c r="A39" s="18"/>
      <c r="B39" s="19"/>
      <c r="C39" s="17">
        <v>402</v>
      </c>
      <c r="D39" s="17">
        <v>78</v>
      </c>
      <c r="E39" s="17">
        <v>8</v>
      </c>
      <c r="F39" s="17"/>
      <c r="G39" s="17">
        <v>10</v>
      </c>
      <c r="H39" s="17">
        <f>SUM(B39:G39)</f>
        <v>498</v>
      </c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spans="1:26" ht="12.75" x14ac:dyDescent="0.2">
      <c r="A40" s="15"/>
      <c r="B40" s="19"/>
      <c r="C40" s="19"/>
      <c r="D40" s="19"/>
      <c r="E40" s="19"/>
      <c r="F40" s="19"/>
      <c r="G40" s="19"/>
      <c r="H40" s="19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spans="1:26" ht="12.75" x14ac:dyDescent="0.2">
      <c r="A41" s="15" t="s">
        <v>132</v>
      </c>
      <c r="B41" s="17"/>
      <c r="C41" s="17" t="s">
        <v>118</v>
      </c>
      <c r="D41" s="17" t="s">
        <v>7</v>
      </c>
      <c r="E41" s="17" t="s">
        <v>119</v>
      </c>
      <c r="F41" s="17" t="s">
        <v>8</v>
      </c>
      <c r="G41" s="17" t="s">
        <v>9</v>
      </c>
      <c r="H41" s="17" t="s">
        <v>65</v>
      </c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spans="1:26" ht="12.75" x14ac:dyDescent="0.2">
      <c r="A42" s="18"/>
      <c r="B42" s="19"/>
      <c r="C42" s="17">
        <v>386</v>
      </c>
      <c r="D42" s="17">
        <v>72</v>
      </c>
      <c r="E42" s="17">
        <v>13</v>
      </c>
      <c r="F42" s="17"/>
      <c r="G42" s="17">
        <v>12</v>
      </c>
      <c r="H42" s="17">
        <f>SUM(B42:G42)</f>
        <v>483</v>
      </c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spans="1:26" ht="12.75" x14ac:dyDescent="0.2">
      <c r="A43" s="15"/>
      <c r="B43" s="19"/>
      <c r="C43" s="19"/>
      <c r="D43" s="19"/>
      <c r="E43" s="19"/>
      <c r="F43" s="19"/>
      <c r="G43" s="19"/>
      <c r="H43" s="19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spans="1:26" ht="12.75" x14ac:dyDescent="0.2">
      <c r="A44" s="15" t="s">
        <v>133</v>
      </c>
      <c r="B44" s="17" t="s">
        <v>134</v>
      </c>
      <c r="C44" s="17" t="s">
        <v>118</v>
      </c>
      <c r="D44" s="17" t="s">
        <v>7</v>
      </c>
      <c r="E44" s="17" t="s">
        <v>119</v>
      </c>
      <c r="F44" s="17" t="s">
        <v>8</v>
      </c>
      <c r="G44" s="17" t="s">
        <v>9</v>
      </c>
      <c r="H44" s="17" t="s">
        <v>65</v>
      </c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spans="1:26" ht="12.75" x14ac:dyDescent="0.2">
      <c r="A45" s="18"/>
      <c r="B45" s="19">
        <v>6</v>
      </c>
      <c r="C45" s="17">
        <v>367</v>
      </c>
      <c r="D45" s="17">
        <v>68</v>
      </c>
      <c r="E45" s="17">
        <v>11</v>
      </c>
      <c r="F45" s="17"/>
      <c r="G45" s="17">
        <v>1</v>
      </c>
      <c r="H45" s="17">
        <f>SUM(B45:G45)</f>
        <v>453</v>
      </c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spans="1:26" ht="12.75" x14ac:dyDescent="0.2">
      <c r="A46" s="15"/>
      <c r="B46" s="19"/>
      <c r="C46" s="19"/>
      <c r="D46" s="19"/>
      <c r="E46" s="19"/>
      <c r="F46" s="19"/>
      <c r="G46" s="19"/>
      <c r="H46" s="19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spans="1:26" ht="12.75" x14ac:dyDescent="0.2">
      <c r="A47" s="15" t="s">
        <v>135</v>
      </c>
      <c r="B47" s="17" t="s">
        <v>134</v>
      </c>
      <c r="C47" s="17" t="s">
        <v>118</v>
      </c>
      <c r="D47" s="17" t="s">
        <v>7</v>
      </c>
      <c r="E47" s="17" t="s">
        <v>119</v>
      </c>
      <c r="F47" s="17" t="s">
        <v>8</v>
      </c>
      <c r="G47" s="17" t="s">
        <v>9</v>
      </c>
      <c r="H47" s="17" t="s">
        <v>65</v>
      </c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spans="1:26" ht="12.75" x14ac:dyDescent="0.2">
      <c r="A48" s="18"/>
      <c r="B48" s="19">
        <v>9</v>
      </c>
      <c r="C48" s="17">
        <v>339</v>
      </c>
      <c r="D48" s="17">
        <v>62</v>
      </c>
      <c r="E48" s="17">
        <v>24</v>
      </c>
      <c r="F48" s="17"/>
      <c r="G48" s="17"/>
      <c r="H48" s="17">
        <f>SUM(B48:G48)</f>
        <v>434</v>
      </c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spans="1:26" ht="12.7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spans="1:26" ht="12.75" x14ac:dyDescent="0.2">
      <c r="A50" s="18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spans="1:26" ht="12.75" x14ac:dyDescent="0.2">
      <c r="A51" s="18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spans="1:26" ht="12.75" x14ac:dyDescent="0.2">
      <c r="A52" s="18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spans="1:26" ht="12.7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spans="1:26" ht="12.75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spans="1:26" ht="12.75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spans="1:26" ht="12.75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spans="1:26" ht="12.75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spans="1:26" ht="12.75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spans="1:26" ht="12.75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spans="1:26" ht="12.75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spans="1:26" ht="12.75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spans="1:26" ht="12.75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spans="1:26" ht="12.75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spans="1:26" ht="12.75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spans="1:26" ht="12.75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spans="1:26" ht="12.75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spans="1:26" ht="12.75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spans="1:26" ht="12.75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spans="1:26" ht="12.75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spans="1:26" ht="12.75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spans="1:26" ht="12.75" x14ac:dyDescent="0.2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spans="1:26" ht="12.75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spans="1:26" ht="12.75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spans="1:26" ht="12.75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spans="1:26" ht="12.75" x14ac:dyDescent="0.2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spans="1:26" ht="12.75" x14ac:dyDescent="0.2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spans="1:26" ht="12.75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spans="1:26" ht="12.75" x14ac:dyDescent="0.2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spans="1:26" ht="12.75" x14ac:dyDescent="0.2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spans="1:26" ht="12.75" x14ac:dyDescent="0.2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spans="1:26" ht="12.75" x14ac:dyDescent="0.2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spans="1:26" ht="12.75" x14ac:dyDescent="0.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spans="1:26" ht="12.75" x14ac:dyDescent="0.2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spans="1:26" ht="12.75" x14ac:dyDescent="0.2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spans="1:26" ht="12.75" x14ac:dyDescent="0.2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spans="1:26" ht="12.75" x14ac:dyDescent="0.2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spans="1:26" ht="12.75" x14ac:dyDescent="0.2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spans="1:26" ht="12.75" x14ac:dyDescent="0.2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spans="1:26" ht="12.75" x14ac:dyDescent="0.2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spans="1:26" ht="12.75" x14ac:dyDescent="0.2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spans="1:26" ht="12.75" x14ac:dyDescent="0.2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spans="1:26" ht="12.75" x14ac:dyDescent="0.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spans="1:26" ht="12.75" x14ac:dyDescent="0.2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spans="1:26" ht="12.75" x14ac:dyDescent="0.2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spans="1:26" ht="12.75" x14ac:dyDescent="0.2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spans="1:26" ht="12.75" x14ac:dyDescent="0.2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spans="1:26" ht="12.75" x14ac:dyDescent="0.2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spans="1:26" ht="12.75" x14ac:dyDescent="0.2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spans="1:26" ht="12.75" x14ac:dyDescent="0.2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spans="1:26" ht="12.75" x14ac:dyDescent="0.2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spans="1:26" ht="12.75" x14ac:dyDescent="0.2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spans="1:26" ht="12.75" x14ac:dyDescent="0.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spans="1:26" ht="12.75" x14ac:dyDescent="0.2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spans="1:26" ht="12.75" x14ac:dyDescent="0.2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spans="1:26" ht="12.75" x14ac:dyDescent="0.2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spans="1:26" ht="12.75" x14ac:dyDescent="0.2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spans="1:26" ht="12.75" x14ac:dyDescent="0.2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spans="1:26" ht="12.75" x14ac:dyDescent="0.2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spans="1:26" ht="12.75" x14ac:dyDescent="0.2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spans="1:26" ht="12.75" x14ac:dyDescent="0.2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spans="1:26" ht="12.75" x14ac:dyDescent="0.2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spans="1:26" ht="12.75" x14ac:dyDescent="0.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spans="1:26" ht="12.75" x14ac:dyDescent="0.2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spans="1:26" ht="12.75" x14ac:dyDescent="0.2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spans="1:26" ht="12.75" x14ac:dyDescent="0.2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spans="1:26" ht="12.75" x14ac:dyDescent="0.2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spans="1:26" ht="12.75" x14ac:dyDescent="0.2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spans="1:26" ht="12.75" x14ac:dyDescent="0.2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spans="1:26" ht="12.75" x14ac:dyDescent="0.2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spans="1:26" ht="12.75" x14ac:dyDescent="0.2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spans="1:26" ht="12.75" x14ac:dyDescent="0.2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spans="1:26" ht="12.75" x14ac:dyDescent="0.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spans="1:26" ht="12.75" x14ac:dyDescent="0.2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spans="1:26" ht="12.75" x14ac:dyDescent="0.2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spans="1:26" ht="12.75" x14ac:dyDescent="0.2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spans="1:26" ht="12.75" x14ac:dyDescent="0.2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spans="1:26" ht="12.75" x14ac:dyDescent="0.2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spans="1:26" ht="12.75" x14ac:dyDescent="0.2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spans="1:26" ht="12.75" x14ac:dyDescent="0.2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spans="1:26" ht="12.75" x14ac:dyDescent="0.2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spans="1:26" ht="12.75" x14ac:dyDescent="0.2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spans="1:26" ht="12.75" x14ac:dyDescent="0.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spans="1:26" ht="12.75" x14ac:dyDescent="0.2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spans="1:26" ht="12.75" x14ac:dyDescent="0.2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spans="1:26" ht="12.75" x14ac:dyDescent="0.2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spans="1:26" ht="12.75" x14ac:dyDescent="0.2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spans="1:26" ht="12.75" x14ac:dyDescent="0.2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spans="1:26" ht="12.75" x14ac:dyDescent="0.2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spans="1:26" ht="12.75" x14ac:dyDescent="0.2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spans="1:26" ht="12.75" x14ac:dyDescent="0.2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spans="1:26" ht="12.75" x14ac:dyDescent="0.2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spans="1:26" ht="12.75" x14ac:dyDescent="0.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spans="1:26" ht="12.75" x14ac:dyDescent="0.2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spans="1:26" ht="12.75" x14ac:dyDescent="0.2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spans="1:26" ht="12.75" x14ac:dyDescent="0.2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spans="1:26" ht="12.75" x14ac:dyDescent="0.2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spans="1:26" ht="12.75" x14ac:dyDescent="0.2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spans="1:26" ht="12.75" x14ac:dyDescent="0.2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spans="1:26" ht="12.75" x14ac:dyDescent="0.2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spans="1:26" ht="12.75" x14ac:dyDescent="0.2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spans="1:26" ht="12.75" x14ac:dyDescent="0.2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spans="1:26" ht="12.75" x14ac:dyDescent="0.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spans="1:26" ht="12.75" x14ac:dyDescent="0.2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spans="1:26" ht="12.75" x14ac:dyDescent="0.2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spans="1:26" ht="12.75" x14ac:dyDescent="0.2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spans="1:26" ht="12.75" x14ac:dyDescent="0.2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spans="1:26" ht="12.75" x14ac:dyDescent="0.2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spans="1:26" ht="12.75" x14ac:dyDescent="0.2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spans="1:26" ht="12.75" x14ac:dyDescent="0.2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spans="1:26" ht="12.75" x14ac:dyDescent="0.2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spans="1:26" ht="12.75" x14ac:dyDescent="0.2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spans="1:26" ht="12.75" x14ac:dyDescent="0.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spans="1:26" ht="12.75" x14ac:dyDescent="0.2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spans="1:26" ht="12.75" x14ac:dyDescent="0.2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spans="1:26" ht="12.75" x14ac:dyDescent="0.2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spans="1:26" ht="12.75" x14ac:dyDescent="0.2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spans="1:26" ht="12.75" x14ac:dyDescent="0.2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spans="1:26" ht="12.75" x14ac:dyDescent="0.2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spans="1:26" ht="12.75" x14ac:dyDescent="0.2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spans="1:26" ht="12.75" x14ac:dyDescent="0.2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spans="1:26" ht="12.75" x14ac:dyDescent="0.2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spans="1:26" ht="12.75" x14ac:dyDescent="0.2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spans="1:26" ht="12.75" x14ac:dyDescent="0.2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spans="1:26" ht="12.75" x14ac:dyDescent="0.2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spans="1:26" ht="12.75" x14ac:dyDescent="0.2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spans="1:26" ht="12.75" x14ac:dyDescent="0.2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spans="1:26" ht="12.75" x14ac:dyDescent="0.2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spans="1:26" ht="12.75" x14ac:dyDescent="0.2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spans="1:26" ht="12.75" x14ac:dyDescent="0.2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spans="1:26" ht="12.75" x14ac:dyDescent="0.2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spans="1:26" ht="12.75" x14ac:dyDescent="0.2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spans="1:26" ht="12.75" x14ac:dyDescent="0.2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spans="1:26" ht="12.75" x14ac:dyDescent="0.2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spans="1:26" ht="12.75" x14ac:dyDescent="0.2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spans="1:26" ht="12.75" x14ac:dyDescent="0.2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spans="1:26" ht="12.75" x14ac:dyDescent="0.2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spans="1:26" ht="12.75" x14ac:dyDescent="0.2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spans="1:26" ht="12.75" x14ac:dyDescent="0.2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spans="1:26" ht="12.75" x14ac:dyDescent="0.2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spans="1:26" ht="12.75" x14ac:dyDescent="0.2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spans="1:26" ht="12.75" x14ac:dyDescent="0.2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spans="1:26" ht="12.75" x14ac:dyDescent="0.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spans="1:26" ht="12.75" x14ac:dyDescent="0.2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spans="1:26" ht="12.75" x14ac:dyDescent="0.2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spans="1:26" ht="12.75" x14ac:dyDescent="0.2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spans="1:26" ht="12.75" x14ac:dyDescent="0.2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spans="1:26" ht="12.75" x14ac:dyDescent="0.2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spans="1:26" ht="12.75" x14ac:dyDescent="0.2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spans="1:26" ht="12.75" x14ac:dyDescent="0.2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spans="1:26" ht="12.75" x14ac:dyDescent="0.2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spans="1:26" ht="12.75" x14ac:dyDescent="0.2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spans="1:26" ht="12.75" x14ac:dyDescent="0.2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spans="1:26" ht="12.75" x14ac:dyDescent="0.2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spans="1:26" ht="12.75" x14ac:dyDescent="0.2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spans="1:26" ht="12.75" x14ac:dyDescent="0.2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spans="1:26" ht="12.75" x14ac:dyDescent="0.2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spans="1:26" ht="12.75" x14ac:dyDescent="0.2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spans="1:26" ht="12.75" x14ac:dyDescent="0.2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spans="1:26" ht="12.75" x14ac:dyDescent="0.2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spans="1:26" ht="12.75" x14ac:dyDescent="0.2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spans="1:26" ht="12.75" x14ac:dyDescent="0.2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spans="1:26" ht="12.75" x14ac:dyDescent="0.2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spans="1:26" ht="12.75" x14ac:dyDescent="0.2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spans="1:26" ht="12.75" x14ac:dyDescent="0.2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spans="1:26" ht="12.75" x14ac:dyDescent="0.2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spans="1:26" ht="12.75" x14ac:dyDescent="0.2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spans="1:26" ht="12.75" x14ac:dyDescent="0.2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spans="1:26" ht="12.75" x14ac:dyDescent="0.2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spans="1:26" ht="12.75" x14ac:dyDescent="0.2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spans="1:26" ht="12.75" x14ac:dyDescent="0.2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spans="1:26" ht="12.75" x14ac:dyDescent="0.2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spans="1:26" ht="12.75" x14ac:dyDescent="0.2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spans="1:26" ht="12.75" x14ac:dyDescent="0.2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spans="1:26" ht="12.75" x14ac:dyDescent="0.2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spans="1:26" ht="12.75" x14ac:dyDescent="0.2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spans="1:26" ht="12.75" x14ac:dyDescent="0.2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spans="1:26" ht="12.75" x14ac:dyDescent="0.2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spans="1:26" ht="12.75" x14ac:dyDescent="0.2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spans="1:26" ht="12.75" x14ac:dyDescent="0.2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spans="1:26" ht="12.75" x14ac:dyDescent="0.2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spans="1:26" ht="12.75" x14ac:dyDescent="0.2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spans="1:26" ht="12.75" x14ac:dyDescent="0.2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spans="1:26" ht="12.75" x14ac:dyDescent="0.2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spans="1:26" ht="12.75" x14ac:dyDescent="0.2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spans="1:26" ht="12.75" x14ac:dyDescent="0.2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spans="1:26" ht="12.75" x14ac:dyDescent="0.2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spans="1:26" ht="12.75" x14ac:dyDescent="0.2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spans="1:26" ht="12.75" x14ac:dyDescent="0.2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spans="1:26" ht="12.75" x14ac:dyDescent="0.2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spans="1:26" ht="12.75" x14ac:dyDescent="0.2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spans="1:26" ht="12.75" x14ac:dyDescent="0.2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spans="1:26" ht="12.75" x14ac:dyDescent="0.2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spans="1:26" ht="12.75" x14ac:dyDescent="0.2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spans="1:26" ht="12.75" x14ac:dyDescent="0.2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spans="1:26" ht="12.75" x14ac:dyDescent="0.2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spans="1:26" ht="12.75" x14ac:dyDescent="0.2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spans="1:26" ht="12.75" x14ac:dyDescent="0.2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spans="1:26" ht="12.75" x14ac:dyDescent="0.2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spans="1:26" ht="12.75" x14ac:dyDescent="0.2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spans="1:26" ht="12.75" x14ac:dyDescent="0.2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spans="1:26" ht="12.75" x14ac:dyDescent="0.2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spans="1:26" ht="12.75" x14ac:dyDescent="0.2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spans="1:26" ht="12.75" x14ac:dyDescent="0.2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spans="1:26" ht="12.75" x14ac:dyDescent="0.2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spans="1:26" ht="12.75" x14ac:dyDescent="0.2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spans="1:26" ht="12.75" x14ac:dyDescent="0.2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spans="1:26" ht="12.75" x14ac:dyDescent="0.2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spans="1:26" ht="12.75" x14ac:dyDescent="0.2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spans="1:26" ht="12.75" x14ac:dyDescent="0.2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spans="1:26" ht="12.75" x14ac:dyDescent="0.2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spans="1:26" ht="12.75" x14ac:dyDescent="0.2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spans="1:26" ht="12.75" x14ac:dyDescent="0.2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spans="1:26" ht="12.75" x14ac:dyDescent="0.2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spans="1:26" ht="12.75" x14ac:dyDescent="0.2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spans="1:26" ht="12.75" x14ac:dyDescent="0.2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spans="1:26" ht="12.75" x14ac:dyDescent="0.2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spans="1:26" ht="12.75" x14ac:dyDescent="0.2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spans="1:26" ht="12.75" x14ac:dyDescent="0.2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spans="1:26" ht="12.75" x14ac:dyDescent="0.2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spans="1:26" ht="12.75" x14ac:dyDescent="0.2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spans="1:26" ht="12.75" x14ac:dyDescent="0.2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spans="1:26" ht="12.75" x14ac:dyDescent="0.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spans="1:26" ht="12.75" x14ac:dyDescent="0.2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spans="1:26" ht="12.75" x14ac:dyDescent="0.2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spans="1:26" ht="12.75" x14ac:dyDescent="0.2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spans="1:26" ht="12.75" x14ac:dyDescent="0.2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spans="1:26" ht="12.75" x14ac:dyDescent="0.2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spans="1:26" ht="12.75" x14ac:dyDescent="0.2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spans="1:26" ht="12.75" x14ac:dyDescent="0.2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spans="1:26" ht="12.75" x14ac:dyDescent="0.2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spans="1:26" ht="12.75" x14ac:dyDescent="0.2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spans="1:26" ht="12.75" x14ac:dyDescent="0.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spans="1:26" ht="12.75" x14ac:dyDescent="0.2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spans="1:26" ht="12.75" x14ac:dyDescent="0.2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spans="1:26" ht="12.75" x14ac:dyDescent="0.2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spans="1:26" ht="12.75" x14ac:dyDescent="0.2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spans="1:26" ht="12.75" x14ac:dyDescent="0.2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spans="1:26" ht="12.75" x14ac:dyDescent="0.2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spans="1:26" ht="12.75" x14ac:dyDescent="0.2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spans="1:26" ht="12.75" x14ac:dyDescent="0.2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spans="1:26" ht="12.75" x14ac:dyDescent="0.2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spans="1:26" ht="12.75" x14ac:dyDescent="0.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spans="1:26" ht="12.75" x14ac:dyDescent="0.2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spans="1:26" ht="12.75" x14ac:dyDescent="0.2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spans="1:26" ht="12.75" x14ac:dyDescent="0.2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spans="1:26" ht="12.75" x14ac:dyDescent="0.2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spans="1:26" ht="12.75" x14ac:dyDescent="0.2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spans="1:26" ht="12.75" x14ac:dyDescent="0.2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spans="1:26" ht="12.75" x14ac:dyDescent="0.2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spans="1:26" ht="12.75" x14ac:dyDescent="0.2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spans="1:26" ht="12.75" x14ac:dyDescent="0.2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spans="1:26" ht="12.75" x14ac:dyDescent="0.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spans="1:26" ht="12.75" x14ac:dyDescent="0.2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spans="1:26" ht="12.75" x14ac:dyDescent="0.2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spans="1:26" ht="12.75" x14ac:dyDescent="0.2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spans="1:26" ht="12.75" x14ac:dyDescent="0.2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spans="1:26" ht="12.75" x14ac:dyDescent="0.2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spans="1:26" ht="12.75" x14ac:dyDescent="0.2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spans="1:26" ht="12.75" x14ac:dyDescent="0.2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spans="1:26" ht="12.75" x14ac:dyDescent="0.2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spans="1:26" ht="12.75" x14ac:dyDescent="0.2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spans="1:26" ht="12.75" x14ac:dyDescent="0.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spans="1:26" ht="12.75" x14ac:dyDescent="0.2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spans="1:26" ht="12.75" x14ac:dyDescent="0.2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spans="1:26" ht="12.75" x14ac:dyDescent="0.2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spans="1:26" ht="12.75" x14ac:dyDescent="0.2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spans="1:26" ht="12.75" x14ac:dyDescent="0.2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spans="1:26" ht="12.75" x14ac:dyDescent="0.2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spans="1:26" ht="12.75" x14ac:dyDescent="0.2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spans="1:26" ht="12.75" x14ac:dyDescent="0.2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spans="1:26" ht="12.75" x14ac:dyDescent="0.2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spans="1:26" ht="12.75" x14ac:dyDescent="0.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spans="1:26" ht="12.75" x14ac:dyDescent="0.2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spans="1:26" ht="12.75" x14ac:dyDescent="0.2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spans="1:26" ht="12.75" x14ac:dyDescent="0.2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spans="1:26" ht="12.75" x14ac:dyDescent="0.2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spans="1:26" ht="12.75" x14ac:dyDescent="0.2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spans="1:26" ht="12.75" x14ac:dyDescent="0.2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spans="1:26" ht="12.75" x14ac:dyDescent="0.2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spans="1:26" ht="12.75" x14ac:dyDescent="0.2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spans="1:26" ht="12.75" x14ac:dyDescent="0.2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spans="1:26" ht="12.75" x14ac:dyDescent="0.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spans="1:26" ht="12.75" x14ac:dyDescent="0.2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spans="1:26" ht="12.75" x14ac:dyDescent="0.2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spans="1:26" ht="12.75" x14ac:dyDescent="0.2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spans="1:26" ht="12.75" x14ac:dyDescent="0.2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spans="1:26" ht="12.75" x14ac:dyDescent="0.2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spans="1:26" ht="12.75" x14ac:dyDescent="0.2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spans="1:26" ht="12.75" x14ac:dyDescent="0.2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spans="1:26" ht="12.75" x14ac:dyDescent="0.2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spans="1:26" ht="12.75" x14ac:dyDescent="0.2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spans="1:26" ht="12.75" x14ac:dyDescent="0.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spans="1:26" ht="12.75" x14ac:dyDescent="0.2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spans="1:26" ht="12.75" x14ac:dyDescent="0.2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spans="1:26" ht="12.75" x14ac:dyDescent="0.2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spans="1:26" ht="12.75" x14ac:dyDescent="0.2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spans="1:26" ht="12.75" x14ac:dyDescent="0.2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spans="1:26" ht="12.75" x14ac:dyDescent="0.2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spans="1:26" ht="12.75" x14ac:dyDescent="0.2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spans="1:26" ht="12.75" x14ac:dyDescent="0.2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spans="1:26" ht="12.75" x14ac:dyDescent="0.2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spans="1:26" ht="12.75" x14ac:dyDescent="0.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spans="1:26" ht="12.75" x14ac:dyDescent="0.2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spans="1:26" ht="12.75" x14ac:dyDescent="0.2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spans="1:26" ht="12.75" x14ac:dyDescent="0.2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spans="1:26" ht="12.75" x14ac:dyDescent="0.2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spans="1:26" ht="12.75" x14ac:dyDescent="0.2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spans="1:26" ht="12.75" x14ac:dyDescent="0.2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spans="1:26" ht="12.75" x14ac:dyDescent="0.2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spans="1:26" ht="12.75" x14ac:dyDescent="0.2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spans="1:26" ht="12.75" x14ac:dyDescent="0.2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spans="1:26" ht="12.75" x14ac:dyDescent="0.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spans="1:26" ht="12.75" x14ac:dyDescent="0.2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spans="1:26" ht="12.75" x14ac:dyDescent="0.2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spans="1:26" ht="12.75" x14ac:dyDescent="0.2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spans="1:26" ht="12.75" x14ac:dyDescent="0.2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spans="1:26" ht="12.75" x14ac:dyDescent="0.2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spans="1:26" ht="12.75" x14ac:dyDescent="0.2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spans="1:26" ht="12.75" x14ac:dyDescent="0.2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spans="1:26" ht="12.75" x14ac:dyDescent="0.2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spans="1:26" ht="12.75" x14ac:dyDescent="0.2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spans="1:26" ht="12.75" x14ac:dyDescent="0.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spans="1:26" ht="12.75" x14ac:dyDescent="0.2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spans="1:26" ht="12.75" x14ac:dyDescent="0.2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spans="1:26" ht="12.75" x14ac:dyDescent="0.2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spans="1:26" ht="12.75" x14ac:dyDescent="0.2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spans="1:26" ht="12.75" x14ac:dyDescent="0.2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spans="1:26" ht="12.75" x14ac:dyDescent="0.2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spans="1:26" ht="12.75" x14ac:dyDescent="0.2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spans="1:26" ht="12.75" x14ac:dyDescent="0.2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spans="1:26" ht="12.75" x14ac:dyDescent="0.2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spans="1:26" ht="12.75" x14ac:dyDescent="0.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spans="1:26" ht="12.75" x14ac:dyDescent="0.2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spans="1:26" ht="12.75" x14ac:dyDescent="0.2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spans="1:26" ht="12.75" x14ac:dyDescent="0.2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spans="1:26" ht="12.75" x14ac:dyDescent="0.2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spans="1:26" ht="12.75" x14ac:dyDescent="0.2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spans="1:26" ht="12.75" x14ac:dyDescent="0.2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spans="1:26" ht="12.75" x14ac:dyDescent="0.2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spans="1:26" ht="12.75" x14ac:dyDescent="0.2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spans="1:26" ht="12.75" x14ac:dyDescent="0.2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spans="1:26" ht="12.75" x14ac:dyDescent="0.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spans="1:26" ht="12.75" x14ac:dyDescent="0.2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spans="1:26" ht="12.75" x14ac:dyDescent="0.2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spans="1:26" ht="12.75" x14ac:dyDescent="0.2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spans="1:26" ht="12.75" x14ac:dyDescent="0.2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spans="1:26" ht="12.75" x14ac:dyDescent="0.2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spans="1:26" ht="12.75" x14ac:dyDescent="0.2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spans="1:26" ht="12.75" x14ac:dyDescent="0.2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spans="1:26" ht="12.75" x14ac:dyDescent="0.2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spans="1:26" ht="12.75" x14ac:dyDescent="0.2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spans="1:26" ht="12.75" x14ac:dyDescent="0.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spans="1:26" ht="12.75" x14ac:dyDescent="0.2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spans="1:26" ht="12.75" x14ac:dyDescent="0.2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spans="1:26" ht="12.75" x14ac:dyDescent="0.2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spans="1:26" ht="12.75" x14ac:dyDescent="0.2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spans="1:26" ht="12.75" x14ac:dyDescent="0.2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spans="1:26" ht="12.75" x14ac:dyDescent="0.2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spans="1:26" ht="12.75" x14ac:dyDescent="0.2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spans="1:26" ht="12.75" x14ac:dyDescent="0.2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spans="1:26" ht="12.75" x14ac:dyDescent="0.2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spans="1:26" ht="12.75" x14ac:dyDescent="0.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spans="1:26" ht="12.75" x14ac:dyDescent="0.2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spans="1:26" ht="12.75" x14ac:dyDescent="0.2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spans="1:26" ht="12.75" x14ac:dyDescent="0.2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spans="1:26" ht="12.75" x14ac:dyDescent="0.2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spans="1:26" ht="12.75" x14ac:dyDescent="0.2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spans="1:26" ht="12.75" x14ac:dyDescent="0.2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spans="1:26" ht="12.75" x14ac:dyDescent="0.2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spans="1:26" ht="12.75" x14ac:dyDescent="0.2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spans="1:26" ht="12.75" x14ac:dyDescent="0.2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spans="1:26" ht="12.75" x14ac:dyDescent="0.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spans="1:26" ht="12.75" x14ac:dyDescent="0.2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spans="1:26" ht="12.75" x14ac:dyDescent="0.2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spans="1:26" ht="12.75" x14ac:dyDescent="0.2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spans="1:26" ht="12.75" x14ac:dyDescent="0.2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spans="1:26" ht="12.75" x14ac:dyDescent="0.2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spans="1:26" ht="12.75" x14ac:dyDescent="0.2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spans="1:26" ht="12.75" x14ac:dyDescent="0.2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spans="1:26" ht="12.75" x14ac:dyDescent="0.2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spans="1:26" ht="12.75" x14ac:dyDescent="0.2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spans="1:26" ht="12.75" x14ac:dyDescent="0.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spans="1:26" ht="12.75" x14ac:dyDescent="0.2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spans="1:26" ht="12.75" x14ac:dyDescent="0.2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spans="1:26" ht="12.75" x14ac:dyDescent="0.2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spans="1:26" ht="12.75" x14ac:dyDescent="0.2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spans="1:26" ht="12.75" x14ac:dyDescent="0.2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spans="1:26" ht="12.75" x14ac:dyDescent="0.2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spans="1:26" ht="12.75" x14ac:dyDescent="0.2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spans="1:26" ht="12.75" x14ac:dyDescent="0.2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spans="1:26" ht="12.75" x14ac:dyDescent="0.2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spans="1:26" ht="12.75" x14ac:dyDescent="0.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spans="1:26" ht="12.75" x14ac:dyDescent="0.2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spans="1:26" ht="12.75" x14ac:dyDescent="0.2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spans="1:26" ht="12.75" x14ac:dyDescent="0.2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spans="1:26" ht="12.75" x14ac:dyDescent="0.2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spans="1:26" ht="12.75" x14ac:dyDescent="0.2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spans="1:26" ht="12.75" x14ac:dyDescent="0.2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spans="1:26" ht="12.75" x14ac:dyDescent="0.2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spans="1:26" ht="12.75" x14ac:dyDescent="0.2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spans="1:26" ht="12.75" x14ac:dyDescent="0.2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spans="1:26" ht="12.75" x14ac:dyDescent="0.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spans="1:26" ht="12.75" x14ac:dyDescent="0.2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spans="1:26" ht="12.75" x14ac:dyDescent="0.2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spans="1:26" ht="12.75" x14ac:dyDescent="0.2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spans="1:26" ht="12.75" x14ac:dyDescent="0.2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spans="1:26" ht="12.75" x14ac:dyDescent="0.2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spans="1:26" ht="12.75" x14ac:dyDescent="0.2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spans="1:26" ht="12.75" x14ac:dyDescent="0.2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spans="1:26" ht="12.75" x14ac:dyDescent="0.2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spans="1:26" ht="12.75" x14ac:dyDescent="0.2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spans="1:26" ht="12.75" x14ac:dyDescent="0.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spans="1:26" ht="12.75" x14ac:dyDescent="0.2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spans="1:26" ht="12.75" x14ac:dyDescent="0.2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spans="1:26" ht="12.75" x14ac:dyDescent="0.2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spans="1:26" ht="12.75" x14ac:dyDescent="0.2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spans="1:26" ht="12.75" x14ac:dyDescent="0.2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spans="1:26" ht="12.75" x14ac:dyDescent="0.2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spans="1:26" ht="12.75" x14ac:dyDescent="0.2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spans="1:26" ht="12.75" x14ac:dyDescent="0.2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spans="1:26" ht="12.75" x14ac:dyDescent="0.2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spans="1:26" ht="12.75" x14ac:dyDescent="0.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spans="1:26" ht="12.75" x14ac:dyDescent="0.2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spans="1:26" ht="12.75" x14ac:dyDescent="0.2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spans="1:26" ht="12.75" x14ac:dyDescent="0.2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spans="1:26" ht="12.75" x14ac:dyDescent="0.2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spans="1:26" ht="12.75" x14ac:dyDescent="0.2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spans="1:26" ht="12.75" x14ac:dyDescent="0.2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spans="1:26" ht="12.75" x14ac:dyDescent="0.2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spans="1:26" ht="12.75" x14ac:dyDescent="0.2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spans="1:26" ht="12.75" x14ac:dyDescent="0.2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spans="1:26" ht="12.75" x14ac:dyDescent="0.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spans="1:26" ht="12.75" x14ac:dyDescent="0.2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spans="1:26" ht="12.75" x14ac:dyDescent="0.2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spans="1:26" ht="12.75" x14ac:dyDescent="0.2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spans="1:26" ht="12.75" x14ac:dyDescent="0.2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spans="1:26" ht="12.75" x14ac:dyDescent="0.2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spans="1:26" ht="12.75" x14ac:dyDescent="0.2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spans="1:26" ht="12.75" x14ac:dyDescent="0.2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spans="1:26" ht="12.75" x14ac:dyDescent="0.2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spans="1:26" ht="12.75" x14ac:dyDescent="0.2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spans="1:26" ht="12.75" x14ac:dyDescent="0.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spans="1:26" ht="12.75" x14ac:dyDescent="0.2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spans="1:26" ht="12.75" x14ac:dyDescent="0.2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spans="1:26" ht="12.75" x14ac:dyDescent="0.2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spans="1:26" ht="12.75" x14ac:dyDescent="0.2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spans="1:26" ht="12.75" x14ac:dyDescent="0.2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spans="1:26" ht="12.75" x14ac:dyDescent="0.2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spans="1:26" ht="12.75" x14ac:dyDescent="0.2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spans="1:26" ht="12.75" x14ac:dyDescent="0.2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spans="1:26" ht="12.75" x14ac:dyDescent="0.2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spans="1:26" ht="12.75" x14ac:dyDescent="0.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spans="1:26" ht="12.75" x14ac:dyDescent="0.2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spans="1:26" ht="12.75" x14ac:dyDescent="0.2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spans="1:26" ht="12.75" x14ac:dyDescent="0.2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spans="1:26" ht="12.75" x14ac:dyDescent="0.2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spans="1:26" ht="12.75" x14ac:dyDescent="0.2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spans="1:26" ht="12.75" x14ac:dyDescent="0.2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spans="1:26" ht="12.75" x14ac:dyDescent="0.2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spans="1:26" ht="12.75" x14ac:dyDescent="0.2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spans="1:26" ht="12.75" x14ac:dyDescent="0.2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spans="1:26" ht="12.75" x14ac:dyDescent="0.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spans="1:26" ht="12.75" x14ac:dyDescent="0.2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spans="1:26" ht="12.75" x14ac:dyDescent="0.2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spans="1:26" ht="12.75" x14ac:dyDescent="0.2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spans="1:26" ht="12.75" x14ac:dyDescent="0.2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spans="1:26" ht="12.75" x14ac:dyDescent="0.2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spans="1:26" ht="12.75" x14ac:dyDescent="0.2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spans="1:26" ht="12.75" x14ac:dyDescent="0.2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spans="1:26" ht="12.75" x14ac:dyDescent="0.2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spans="1:26" ht="12.75" x14ac:dyDescent="0.2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spans="1:26" ht="12.75" x14ac:dyDescent="0.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spans="1:26" ht="12.75" x14ac:dyDescent="0.2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spans="1:26" ht="12.75" x14ac:dyDescent="0.2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spans="1:26" ht="12.75" x14ac:dyDescent="0.2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spans="1:26" ht="12.75" x14ac:dyDescent="0.2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spans="1:26" ht="12.75" x14ac:dyDescent="0.2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spans="1:26" ht="12.75" x14ac:dyDescent="0.2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spans="1:26" ht="12.75" x14ac:dyDescent="0.2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spans="1:26" ht="12.75" x14ac:dyDescent="0.2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spans="1:26" ht="12.75" x14ac:dyDescent="0.2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spans="1:26" ht="12.75" x14ac:dyDescent="0.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spans="1:26" ht="12.75" x14ac:dyDescent="0.2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spans="1:26" ht="12.75" x14ac:dyDescent="0.2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spans="1:26" ht="12.75" x14ac:dyDescent="0.2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spans="1:26" ht="12.75" x14ac:dyDescent="0.2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spans="1:26" ht="12.75" x14ac:dyDescent="0.2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spans="1:26" ht="12.75" x14ac:dyDescent="0.2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spans="1:26" ht="12.75" x14ac:dyDescent="0.2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spans="1:26" ht="12.75" x14ac:dyDescent="0.2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spans="1:26" ht="12.75" x14ac:dyDescent="0.2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spans="1:26" ht="12.75" x14ac:dyDescent="0.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spans="1:26" ht="12.75" x14ac:dyDescent="0.2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spans="1:26" ht="12.75" x14ac:dyDescent="0.2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spans="1:26" ht="12.75" x14ac:dyDescent="0.2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spans="1:26" ht="12.75" x14ac:dyDescent="0.2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spans="1:26" ht="12.75" x14ac:dyDescent="0.2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spans="1:26" ht="12.75" x14ac:dyDescent="0.2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spans="1:26" ht="12.75" x14ac:dyDescent="0.2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spans="1:26" ht="12.75" x14ac:dyDescent="0.2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spans="1:26" ht="12.75" x14ac:dyDescent="0.2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spans="1:26" ht="12.75" x14ac:dyDescent="0.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spans="1:26" ht="12.75" x14ac:dyDescent="0.2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spans="1:26" ht="12.75" x14ac:dyDescent="0.2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spans="1:26" ht="12.75" x14ac:dyDescent="0.2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spans="1:26" ht="12.75" x14ac:dyDescent="0.2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spans="1:26" ht="12.75" x14ac:dyDescent="0.2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spans="1:26" ht="12.75" x14ac:dyDescent="0.2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spans="1:26" ht="12.75" x14ac:dyDescent="0.2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spans="1:26" ht="12.75" x14ac:dyDescent="0.2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spans="1:26" ht="12.75" x14ac:dyDescent="0.2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spans="1:26" ht="12.75" x14ac:dyDescent="0.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spans="1:26" ht="12.75" x14ac:dyDescent="0.2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spans="1:26" ht="12.75" x14ac:dyDescent="0.2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spans="1:26" ht="12.75" x14ac:dyDescent="0.2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spans="1:26" ht="12.75" x14ac:dyDescent="0.2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spans="1:26" ht="12.75" x14ac:dyDescent="0.2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spans="1:26" ht="12.75" x14ac:dyDescent="0.2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spans="1:26" ht="12.75" x14ac:dyDescent="0.2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spans="1:26" ht="12.75" x14ac:dyDescent="0.2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spans="1:26" ht="12.75" x14ac:dyDescent="0.2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spans="1:26" ht="12.75" x14ac:dyDescent="0.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spans="1:26" ht="12.75" x14ac:dyDescent="0.2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spans="1:26" ht="12.75" x14ac:dyDescent="0.2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spans="1:26" ht="12.75" x14ac:dyDescent="0.2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spans="1:26" ht="12.75" x14ac:dyDescent="0.2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spans="1:26" ht="12.75" x14ac:dyDescent="0.2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spans="1:26" ht="12.75" x14ac:dyDescent="0.2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spans="1:26" ht="12.75" x14ac:dyDescent="0.2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spans="1:26" ht="12.75" x14ac:dyDescent="0.2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spans="1:26" ht="12.75" x14ac:dyDescent="0.2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spans="1:26" ht="12.75" x14ac:dyDescent="0.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spans="1:26" ht="12.75" x14ac:dyDescent="0.2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spans="1:26" ht="12.75" x14ac:dyDescent="0.2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spans="1:26" ht="12.75" x14ac:dyDescent="0.2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spans="1:26" ht="12.75" x14ac:dyDescent="0.2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spans="1:26" ht="12.75" x14ac:dyDescent="0.2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spans="1:26" ht="12.75" x14ac:dyDescent="0.2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spans="1:26" ht="12.75" x14ac:dyDescent="0.2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spans="1:26" ht="12.75" x14ac:dyDescent="0.2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spans="1:26" ht="12.75" x14ac:dyDescent="0.2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spans="1:26" ht="12.75" x14ac:dyDescent="0.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spans="1:26" ht="12.75" x14ac:dyDescent="0.2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spans="1:26" ht="12.75" x14ac:dyDescent="0.2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spans="1:26" ht="12.75" x14ac:dyDescent="0.2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spans="1:26" ht="12.75" x14ac:dyDescent="0.2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spans="1:26" ht="12.75" x14ac:dyDescent="0.2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spans="1:26" ht="12.75" x14ac:dyDescent="0.2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spans="1:26" ht="12.75" x14ac:dyDescent="0.2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spans="1:26" ht="12.75" x14ac:dyDescent="0.2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spans="1:26" ht="12.75" x14ac:dyDescent="0.2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spans="1:26" ht="12.75" x14ac:dyDescent="0.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spans="1:26" ht="12.75" x14ac:dyDescent="0.2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spans="1:26" ht="12.75" x14ac:dyDescent="0.2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spans="1:26" ht="12.75" x14ac:dyDescent="0.2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spans="1:26" ht="12.75" x14ac:dyDescent="0.2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spans="1:26" ht="12.75" x14ac:dyDescent="0.2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spans="1:26" ht="12.75" x14ac:dyDescent="0.2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spans="1:26" ht="12.75" x14ac:dyDescent="0.2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spans="1:26" ht="12.75" x14ac:dyDescent="0.2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spans="1:26" ht="12.75" x14ac:dyDescent="0.2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spans="1:26" ht="12.75" x14ac:dyDescent="0.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spans="1:26" ht="12.75" x14ac:dyDescent="0.2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spans="1:26" ht="12.75" x14ac:dyDescent="0.2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spans="1:26" ht="12.75" x14ac:dyDescent="0.2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spans="1:26" ht="12.75" x14ac:dyDescent="0.2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spans="1:26" ht="12.75" x14ac:dyDescent="0.2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spans="1:26" ht="12.75" x14ac:dyDescent="0.2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spans="1:26" ht="12.75" x14ac:dyDescent="0.2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spans="1:26" ht="12.75" x14ac:dyDescent="0.2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spans="1:26" ht="12.75" x14ac:dyDescent="0.2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spans="1:26" ht="12.75" x14ac:dyDescent="0.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spans="1:26" ht="12.75" x14ac:dyDescent="0.2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spans="1:26" ht="12.75" x14ac:dyDescent="0.2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spans="1:26" ht="12.75" x14ac:dyDescent="0.2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spans="1:26" ht="12.75" x14ac:dyDescent="0.2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spans="1:26" ht="12.75" x14ac:dyDescent="0.2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spans="1:26" ht="12.75" x14ac:dyDescent="0.2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spans="1:26" ht="12.75" x14ac:dyDescent="0.2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spans="1:26" ht="12.75" x14ac:dyDescent="0.2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spans="1:26" ht="12.75" x14ac:dyDescent="0.2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spans="1:26" ht="12.75" x14ac:dyDescent="0.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spans="1:26" ht="12.75" x14ac:dyDescent="0.2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spans="1:26" ht="12.75" x14ac:dyDescent="0.2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spans="1:26" ht="12.75" x14ac:dyDescent="0.2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spans="1:26" ht="12.75" x14ac:dyDescent="0.2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spans="1:26" ht="12.75" x14ac:dyDescent="0.2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spans="1:26" ht="12.75" x14ac:dyDescent="0.2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spans="1:26" ht="12.75" x14ac:dyDescent="0.2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spans="1:26" ht="12.75" x14ac:dyDescent="0.2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spans="1:26" ht="12.75" x14ac:dyDescent="0.2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spans="1:26" ht="12.75" x14ac:dyDescent="0.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spans="1:26" ht="12.75" x14ac:dyDescent="0.2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spans="1:26" ht="12.75" x14ac:dyDescent="0.2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spans="1:26" ht="12.75" x14ac:dyDescent="0.2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spans="1:26" ht="12.75" x14ac:dyDescent="0.2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spans="1:26" ht="12.75" x14ac:dyDescent="0.2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spans="1:26" ht="12.75" x14ac:dyDescent="0.2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spans="1:26" ht="12.75" x14ac:dyDescent="0.2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spans="1:26" ht="12.75" x14ac:dyDescent="0.2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spans="1:26" ht="12.75" x14ac:dyDescent="0.2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spans="1:26" ht="12.75" x14ac:dyDescent="0.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spans="1:26" ht="12.75" x14ac:dyDescent="0.2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spans="1:26" ht="12.75" x14ac:dyDescent="0.2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spans="1:26" ht="12.75" x14ac:dyDescent="0.2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spans="1:26" ht="12.75" x14ac:dyDescent="0.2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spans="1:26" ht="12.75" x14ac:dyDescent="0.2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spans="1:26" ht="12.75" x14ac:dyDescent="0.2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spans="1:26" ht="12.75" x14ac:dyDescent="0.2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spans="1:26" ht="12.75" x14ac:dyDescent="0.2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spans="1:26" ht="12.75" x14ac:dyDescent="0.2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spans="1:26" ht="12.75" x14ac:dyDescent="0.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spans="1:26" ht="12.75" x14ac:dyDescent="0.2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spans="1:26" ht="12.75" x14ac:dyDescent="0.2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spans="1:26" ht="12.75" x14ac:dyDescent="0.2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spans="1:26" ht="12.75" x14ac:dyDescent="0.2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spans="1:26" ht="12.75" x14ac:dyDescent="0.2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spans="1:26" ht="12.75" x14ac:dyDescent="0.2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spans="1:26" ht="12.75" x14ac:dyDescent="0.2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spans="1:26" ht="12.75" x14ac:dyDescent="0.2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spans="1:26" ht="12.75" x14ac:dyDescent="0.2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spans="1:26" ht="12.75" x14ac:dyDescent="0.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spans="1:26" ht="12.75" x14ac:dyDescent="0.2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spans="1:26" ht="12.75" x14ac:dyDescent="0.2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spans="1:26" ht="12.75" x14ac:dyDescent="0.2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spans="1:26" ht="12.75" x14ac:dyDescent="0.2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spans="1:26" ht="12.75" x14ac:dyDescent="0.2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spans="1:26" ht="12.75" x14ac:dyDescent="0.2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spans="1:26" ht="12.75" x14ac:dyDescent="0.2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spans="1:26" ht="12.75" x14ac:dyDescent="0.2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spans="1:26" ht="12.75" x14ac:dyDescent="0.2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spans="1:26" ht="12.75" x14ac:dyDescent="0.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spans="1:26" ht="12.75" x14ac:dyDescent="0.2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spans="1:26" ht="12.75" x14ac:dyDescent="0.2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spans="1:26" ht="12.75" x14ac:dyDescent="0.2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spans="1:26" ht="12.75" x14ac:dyDescent="0.2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spans="1:26" ht="12.75" x14ac:dyDescent="0.2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spans="1:26" ht="12.75" x14ac:dyDescent="0.2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spans="1:26" ht="12.75" x14ac:dyDescent="0.2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spans="1:26" ht="12.75" x14ac:dyDescent="0.2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spans="1:26" ht="12.75" x14ac:dyDescent="0.2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spans="1:26" ht="12.75" x14ac:dyDescent="0.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spans="1:26" ht="12.75" x14ac:dyDescent="0.2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spans="1:26" ht="12.75" x14ac:dyDescent="0.2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spans="1:26" ht="12.75" x14ac:dyDescent="0.2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spans="1:26" ht="12.75" x14ac:dyDescent="0.2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spans="1:26" ht="12.75" x14ac:dyDescent="0.2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spans="1:26" ht="12.75" x14ac:dyDescent="0.2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spans="1:26" ht="12.75" x14ac:dyDescent="0.2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spans="1:26" ht="12.75" x14ac:dyDescent="0.2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spans="1:26" ht="12.75" x14ac:dyDescent="0.2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spans="1:26" ht="12.75" x14ac:dyDescent="0.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spans="1:26" ht="12.75" x14ac:dyDescent="0.2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spans="1:26" ht="12.75" x14ac:dyDescent="0.2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spans="1:26" ht="12.75" x14ac:dyDescent="0.2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spans="1:26" ht="12.75" x14ac:dyDescent="0.2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spans="1:26" ht="12.75" x14ac:dyDescent="0.2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spans="1:26" ht="12.75" x14ac:dyDescent="0.2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spans="1:26" ht="12.75" x14ac:dyDescent="0.2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spans="1:26" ht="12.75" x14ac:dyDescent="0.2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spans="1:26" ht="12.75" x14ac:dyDescent="0.2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spans="1:26" ht="12.75" x14ac:dyDescent="0.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spans="1:26" ht="12.75" x14ac:dyDescent="0.2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spans="1:26" ht="12.75" x14ac:dyDescent="0.2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spans="1:26" ht="12.75" x14ac:dyDescent="0.2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spans="1:26" ht="12.75" x14ac:dyDescent="0.2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spans="1:26" ht="12.75" x14ac:dyDescent="0.2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spans="1:26" ht="12.75" x14ac:dyDescent="0.2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spans="1:26" ht="12.75" x14ac:dyDescent="0.2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spans="1:26" ht="12.75" x14ac:dyDescent="0.2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spans="1:26" ht="12.75" x14ac:dyDescent="0.2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spans="1:26" ht="12.75" x14ac:dyDescent="0.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spans="1:26" ht="12.75" x14ac:dyDescent="0.2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spans="1:26" ht="12.75" x14ac:dyDescent="0.2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spans="1:26" ht="12.75" x14ac:dyDescent="0.2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spans="1:26" ht="12.75" x14ac:dyDescent="0.2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spans="1:26" ht="12.75" x14ac:dyDescent="0.2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spans="1:26" ht="12.75" x14ac:dyDescent="0.2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spans="1:26" ht="12.75" x14ac:dyDescent="0.2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spans="1:26" ht="12.75" x14ac:dyDescent="0.2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spans="1:26" ht="12.75" x14ac:dyDescent="0.2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spans="1:26" ht="12.75" x14ac:dyDescent="0.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spans="1:26" ht="12.75" x14ac:dyDescent="0.2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spans="1:26" ht="12.75" x14ac:dyDescent="0.2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spans="1:26" ht="12.75" x14ac:dyDescent="0.2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spans="1:26" ht="12.75" x14ac:dyDescent="0.2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spans="1:26" ht="12.75" x14ac:dyDescent="0.2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spans="1:26" ht="12.75" x14ac:dyDescent="0.2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spans="1:26" ht="12.75" x14ac:dyDescent="0.2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spans="1:26" ht="12.75" x14ac:dyDescent="0.2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spans="1:26" ht="12.75" x14ac:dyDescent="0.2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spans="1:26" ht="12.75" x14ac:dyDescent="0.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spans="1:26" ht="12.75" x14ac:dyDescent="0.2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spans="1:26" ht="12.75" x14ac:dyDescent="0.2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spans="1:26" ht="12.75" x14ac:dyDescent="0.2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spans="1:26" ht="12.75" x14ac:dyDescent="0.2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spans="1:26" ht="12.75" x14ac:dyDescent="0.2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spans="1:26" ht="12.75" x14ac:dyDescent="0.2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spans="1:26" ht="12.75" x14ac:dyDescent="0.2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spans="1:26" ht="12.75" x14ac:dyDescent="0.2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spans="1:26" ht="12.75" x14ac:dyDescent="0.2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spans="1:26" ht="12.75" x14ac:dyDescent="0.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spans="1:26" ht="12.75" x14ac:dyDescent="0.2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spans="1:26" ht="12.75" x14ac:dyDescent="0.2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spans="1:26" ht="12.75" x14ac:dyDescent="0.2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spans="1:26" ht="12.75" x14ac:dyDescent="0.2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spans="1:26" ht="12.75" x14ac:dyDescent="0.2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spans="1:26" ht="12.75" x14ac:dyDescent="0.2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spans="1:26" ht="12.75" x14ac:dyDescent="0.2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spans="1:26" ht="12.75" x14ac:dyDescent="0.2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spans="1:26" ht="12.75" x14ac:dyDescent="0.2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spans="1:26" ht="12.75" x14ac:dyDescent="0.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spans="1:26" ht="12.75" x14ac:dyDescent="0.2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spans="1:26" ht="12.75" x14ac:dyDescent="0.2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spans="1:26" ht="12.75" x14ac:dyDescent="0.2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spans="1:26" ht="12.75" x14ac:dyDescent="0.2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spans="1:26" ht="12.75" x14ac:dyDescent="0.2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spans="1:26" ht="12.75" x14ac:dyDescent="0.2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spans="1:26" ht="12.75" x14ac:dyDescent="0.2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spans="1:26" ht="12.75" x14ac:dyDescent="0.2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spans="1:26" ht="12.75" x14ac:dyDescent="0.2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spans="1:26" ht="12.75" x14ac:dyDescent="0.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spans="1:26" ht="12.75" x14ac:dyDescent="0.2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spans="1:26" ht="12.75" x14ac:dyDescent="0.2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spans="1:26" ht="12.75" x14ac:dyDescent="0.2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spans="1:26" ht="12.75" x14ac:dyDescent="0.2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spans="1:26" ht="12.75" x14ac:dyDescent="0.2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spans="1:26" ht="12.75" x14ac:dyDescent="0.2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spans="1:26" ht="12.75" x14ac:dyDescent="0.2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spans="1:26" ht="12.75" x14ac:dyDescent="0.2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spans="1:26" ht="12.75" x14ac:dyDescent="0.2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spans="1:26" ht="12.75" x14ac:dyDescent="0.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spans="1:26" ht="12.75" x14ac:dyDescent="0.2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spans="1:26" ht="12.75" x14ac:dyDescent="0.2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spans="1:26" ht="12.75" x14ac:dyDescent="0.2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spans="1:26" ht="12.75" x14ac:dyDescent="0.2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spans="1:26" ht="12.75" x14ac:dyDescent="0.2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spans="1:26" ht="12.75" x14ac:dyDescent="0.2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spans="1:26" ht="12.75" x14ac:dyDescent="0.2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spans="1:26" ht="12.75" x14ac:dyDescent="0.2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spans="1:26" ht="12.75" x14ac:dyDescent="0.2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spans="1:26" ht="12.75" x14ac:dyDescent="0.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spans="1:26" ht="12.75" x14ac:dyDescent="0.2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spans="1:26" ht="12.75" x14ac:dyDescent="0.2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spans="1:26" ht="12.75" x14ac:dyDescent="0.2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spans="1:26" ht="12.75" x14ac:dyDescent="0.2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spans="1:26" ht="12.75" x14ac:dyDescent="0.2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spans="1:26" ht="12.75" x14ac:dyDescent="0.2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spans="1:26" ht="12.75" x14ac:dyDescent="0.2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spans="1:26" ht="12.75" x14ac:dyDescent="0.2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spans="1:26" ht="12.75" x14ac:dyDescent="0.2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spans="1:26" ht="12.75" x14ac:dyDescent="0.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spans="1:26" ht="12.75" x14ac:dyDescent="0.2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spans="1:26" ht="12.75" x14ac:dyDescent="0.2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spans="1:26" ht="12.75" x14ac:dyDescent="0.2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spans="1:26" ht="12.75" x14ac:dyDescent="0.2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spans="1:26" ht="12.75" x14ac:dyDescent="0.2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spans="1:26" ht="12.75" x14ac:dyDescent="0.2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spans="1:26" ht="12.75" x14ac:dyDescent="0.2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spans="1:26" ht="12.75" x14ac:dyDescent="0.2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spans="1:26" ht="12.75" x14ac:dyDescent="0.2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spans="1:26" ht="12.75" x14ac:dyDescent="0.2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spans="1:26" ht="12.75" x14ac:dyDescent="0.2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spans="1:26" ht="12.75" x14ac:dyDescent="0.2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spans="1:26" ht="12.75" x14ac:dyDescent="0.2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spans="1:26" ht="12.75" x14ac:dyDescent="0.2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spans="1:26" ht="12.75" x14ac:dyDescent="0.2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spans="1:26" ht="12.75" x14ac:dyDescent="0.2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spans="1:26" ht="12.75" x14ac:dyDescent="0.2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spans="1:26" ht="12.75" x14ac:dyDescent="0.2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spans="1:26" ht="12.75" x14ac:dyDescent="0.2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spans="1:26" ht="12.75" x14ac:dyDescent="0.2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spans="1:26" ht="12.75" x14ac:dyDescent="0.2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spans="1:26" ht="12.75" x14ac:dyDescent="0.2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spans="1:26" ht="12.75" x14ac:dyDescent="0.2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spans="1:26" ht="12.75" x14ac:dyDescent="0.2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spans="1:26" ht="12.75" x14ac:dyDescent="0.2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spans="1:26" ht="12.75" x14ac:dyDescent="0.2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spans="1:26" ht="12.75" x14ac:dyDescent="0.2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spans="1:26" ht="12.75" x14ac:dyDescent="0.2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spans="1:26" ht="12.75" x14ac:dyDescent="0.2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spans="1:26" ht="12.75" x14ac:dyDescent="0.2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spans="1:26" ht="12.75" x14ac:dyDescent="0.2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spans="1:26" ht="12.75" x14ac:dyDescent="0.2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spans="1:26" ht="12.75" x14ac:dyDescent="0.2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spans="1:26" ht="12.75" x14ac:dyDescent="0.2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spans="1:26" ht="12.75" x14ac:dyDescent="0.2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spans="1:26" ht="12.75" x14ac:dyDescent="0.2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spans="1:26" ht="12.75" x14ac:dyDescent="0.2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spans="1:26" ht="12.75" x14ac:dyDescent="0.2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spans="1:26" ht="12.75" x14ac:dyDescent="0.2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spans="1:26" ht="12.75" x14ac:dyDescent="0.2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spans="1:26" ht="12.75" x14ac:dyDescent="0.2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spans="1:26" ht="12.75" x14ac:dyDescent="0.2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spans="1:26" ht="12.75" x14ac:dyDescent="0.2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spans="1:26" ht="12.75" x14ac:dyDescent="0.2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spans="1:26" ht="12.75" x14ac:dyDescent="0.2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spans="1:26" ht="12.75" x14ac:dyDescent="0.2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spans="1:26" ht="12.75" x14ac:dyDescent="0.2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spans="1:26" ht="12.75" x14ac:dyDescent="0.2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spans="1:26" ht="12.75" x14ac:dyDescent="0.2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spans="1:26" ht="12.75" x14ac:dyDescent="0.2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spans="1:26" ht="12.75" x14ac:dyDescent="0.2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spans="1:26" ht="12.75" x14ac:dyDescent="0.2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spans="1:26" ht="12.75" x14ac:dyDescent="0.2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spans="1:26" ht="12.75" x14ac:dyDescent="0.2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spans="1:26" ht="12.75" x14ac:dyDescent="0.2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spans="1:26" ht="12.75" x14ac:dyDescent="0.2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spans="1:26" ht="12.75" x14ac:dyDescent="0.2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spans="1:26" ht="12.75" x14ac:dyDescent="0.2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spans="1:26" ht="12.75" x14ac:dyDescent="0.2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spans="1:26" ht="12.75" x14ac:dyDescent="0.2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spans="1:26" ht="12.75" x14ac:dyDescent="0.2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spans="1:26" ht="12.75" x14ac:dyDescent="0.2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spans="1:26" ht="12.75" x14ac:dyDescent="0.2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spans="1:26" ht="12.75" x14ac:dyDescent="0.2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spans="1:26" ht="12.75" x14ac:dyDescent="0.2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spans="1:26" ht="12.75" x14ac:dyDescent="0.2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spans="1:26" ht="12.75" x14ac:dyDescent="0.2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spans="1:26" ht="12.75" x14ac:dyDescent="0.2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spans="1:26" ht="12.75" x14ac:dyDescent="0.2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spans="1:26" ht="12.75" x14ac:dyDescent="0.2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spans="1:26" ht="12.75" x14ac:dyDescent="0.2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spans="1:26" ht="12.75" x14ac:dyDescent="0.2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spans="1:26" ht="12.75" x14ac:dyDescent="0.2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spans="1:26" ht="12.75" x14ac:dyDescent="0.2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spans="1:26" ht="12.75" x14ac:dyDescent="0.2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spans="1:26" ht="12.75" x14ac:dyDescent="0.2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spans="1:26" ht="12.75" x14ac:dyDescent="0.2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spans="1:26" ht="12.75" x14ac:dyDescent="0.2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spans="1:26" ht="12.75" x14ac:dyDescent="0.2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spans="1:26" ht="12.75" x14ac:dyDescent="0.2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spans="1:26" ht="12.75" x14ac:dyDescent="0.2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spans="1:26" ht="12.75" x14ac:dyDescent="0.2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spans="1:26" ht="12.75" x14ac:dyDescent="0.2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spans="1:26" ht="12.75" x14ac:dyDescent="0.2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spans="1:26" ht="12.75" x14ac:dyDescent="0.2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spans="1:26" ht="12.75" x14ac:dyDescent="0.2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spans="1:26" ht="12.75" x14ac:dyDescent="0.2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spans="1:26" ht="12.75" x14ac:dyDescent="0.2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spans="1:26" ht="12.75" x14ac:dyDescent="0.2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spans="1:26" ht="12.75" x14ac:dyDescent="0.2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spans="1:26" ht="12.75" x14ac:dyDescent="0.2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spans="1:26" ht="12.75" x14ac:dyDescent="0.2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spans="1:26" ht="12.75" x14ac:dyDescent="0.2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spans="1:26" ht="12.75" x14ac:dyDescent="0.2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spans="1:26" ht="12.75" x14ac:dyDescent="0.2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spans="1:26" ht="12.75" x14ac:dyDescent="0.2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spans="1:26" ht="12.75" x14ac:dyDescent="0.2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spans="1:26" ht="12.75" x14ac:dyDescent="0.2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spans="1:26" ht="12.75" x14ac:dyDescent="0.2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spans="1:26" ht="12.75" x14ac:dyDescent="0.2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spans="1:26" ht="12.75" x14ac:dyDescent="0.2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spans="1:26" ht="12.75" x14ac:dyDescent="0.2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spans="1:26" ht="12.75" x14ac:dyDescent="0.2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spans="1:26" ht="12.75" x14ac:dyDescent="0.2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spans="1:26" ht="12.75" x14ac:dyDescent="0.2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spans="1:26" ht="12.75" x14ac:dyDescent="0.2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spans="1:26" ht="12.75" x14ac:dyDescent="0.2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spans="1:26" ht="12.75" x14ac:dyDescent="0.2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spans="1:26" ht="12.75" x14ac:dyDescent="0.2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spans="1:26" ht="12.75" x14ac:dyDescent="0.2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spans="1:26" ht="12.75" x14ac:dyDescent="0.2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spans="1:26" ht="12.75" x14ac:dyDescent="0.2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spans="1:26" ht="12.75" x14ac:dyDescent="0.2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spans="1:26" ht="12.75" x14ac:dyDescent="0.2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spans="1:26" ht="12.75" x14ac:dyDescent="0.2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spans="1:26" ht="12.75" x14ac:dyDescent="0.2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spans="1:26" ht="12.75" x14ac:dyDescent="0.2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spans="1:26" ht="12.75" x14ac:dyDescent="0.2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spans="1:26" ht="12.75" x14ac:dyDescent="0.2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spans="1:26" ht="12.75" x14ac:dyDescent="0.2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spans="1:26" ht="12.75" x14ac:dyDescent="0.2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spans="1:26" ht="12.75" x14ac:dyDescent="0.2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spans="1:26" ht="12.75" x14ac:dyDescent="0.2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spans="1:26" ht="12.75" x14ac:dyDescent="0.2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spans="1:26" ht="12.75" x14ac:dyDescent="0.2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spans="1:26" ht="12.75" x14ac:dyDescent="0.2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spans="1:26" ht="12.75" x14ac:dyDescent="0.2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spans="1:26" ht="12.75" x14ac:dyDescent="0.2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spans="1:26" ht="12.75" x14ac:dyDescent="0.2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spans="1:26" ht="12.75" x14ac:dyDescent="0.2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spans="1:26" ht="12.75" x14ac:dyDescent="0.2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spans="1:26" ht="12.75" x14ac:dyDescent="0.2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spans="1:26" ht="12.75" x14ac:dyDescent="0.2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spans="1:26" ht="12.75" x14ac:dyDescent="0.2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spans="1:26" ht="12.75" x14ac:dyDescent="0.2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spans="1:26" ht="12.75" x14ac:dyDescent="0.2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spans="1:26" ht="12.75" x14ac:dyDescent="0.2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spans="1:26" ht="12.75" x14ac:dyDescent="0.2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spans="1:26" ht="12.75" x14ac:dyDescent="0.2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spans="1:26" ht="12.75" x14ac:dyDescent="0.2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spans="1:26" ht="12.75" x14ac:dyDescent="0.2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spans="1:26" ht="12.75" x14ac:dyDescent="0.2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spans="1:26" ht="12.75" x14ac:dyDescent="0.2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spans="1:26" ht="12.75" x14ac:dyDescent="0.2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spans="1:26" ht="12.75" x14ac:dyDescent="0.2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spans="1:26" ht="12.75" x14ac:dyDescent="0.2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spans="1:26" ht="12.75" x14ac:dyDescent="0.2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spans="1:26" ht="12.75" x14ac:dyDescent="0.2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spans="1:26" ht="12.75" x14ac:dyDescent="0.2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spans="1:26" ht="12.75" x14ac:dyDescent="0.2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spans="1:26" ht="12.75" x14ac:dyDescent="0.2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spans="1:26" ht="12.75" x14ac:dyDescent="0.2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spans="1:26" ht="12.75" x14ac:dyDescent="0.2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spans="1:26" ht="12.75" x14ac:dyDescent="0.2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spans="1:26" ht="12.75" x14ac:dyDescent="0.2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spans="1:26" ht="12.75" x14ac:dyDescent="0.2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spans="1:26" ht="12.75" x14ac:dyDescent="0.2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spans="1:26" ht="12.75" x14ac:dyDescent="0.2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spans="1:26" ht="12.75" x14ac:dyDescent="0.2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spans="1:26" ht="12.75" x14ac:dyDescent="0.2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spans="1:26" ht="12.75" x14ac:dyDescent="0.2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spans="1:26" ht="12.75" x14ac:dyDescent="0.2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spans="1:26" ht="12.75" x14ac:dyDescent="0.2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spans="1:26" ht="12.75" x14ac:dyDescent="0.2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spans="1:26" ht="12.75" x14ac:dyDescent="0.2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spans="1:26" ht="12.75" x14ac:dyDescent="0.2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spans="1:26" ht="12.75" x14ac:dyDescent="0.2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spans="1:26" ht="12.75" x14ac:dyDescent="0.2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spans="1:26" ht="12.75" x14ac:dyDescent="0.2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spans="1:26" ht="12.75" x14ac:dyDescent="0.2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spans="1:26" ht="12.75" x14ac:dyDescent="0.2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spans="1:26" ht="12.75" x14ac:dyDescent="0.2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spans="1:26" ht="12.75" x14ac:dyDescent="0.2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spans="1:26" ht="12.75" x14ac:dyDescent="0.2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spans="1:26" ht="12.75" x14ac:dyDescent="0.2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spans="1:26" ht="12.75" x14ac:dyDescent="0.2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spans="1:26" ht="12.75" x14ac:dyDescent="0.2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spans="1:26" ht="12.75" x14ac:dyDescent="0.2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spans="1:26" ht="12.75" x14ac:dyDescent="0.2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spans="1:26" ht="12.75" x14ac:dyDescent="0.2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spans="1:26" ht="12.75" x14ac:dyDescent="0.2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spans="1:26" ht="12.75" x14ac:dyDescent="0.2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spans="1:26" ht="12.75" x14ac:dyDescent="0.2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spans="1:26" ht="12.75" x14ac:dyDescent="0.2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spans="1:26" ht="12.75" x14ac:dyDescent="0.2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spans="1:26" ht="12.75" x14ac:dyDescent="0.2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spans="1:26" ht="12.75" x14ac:dyDescent="0.2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spans="1:26" ht="12.75" x14ac:dyDescent="0.2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spans="1:26" ht="12.75" x14ac:dyDescent="0.2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spans="1:26" ht="12.75" x14ac:dyDescent="0.2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spans="1:26" ht="12.75" x14ac:dyDescent="0.2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 spans="1:26" ht="12.75" x14ac:dyDescent="0.2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 spans="1:26" ht="12.75" x14ac:dyDescent="0.2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 spans="1:26" ht="12.75" x14ac:dyDescent="0.2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 spans="1:26" ht="12.75" x14ac:dyDescent="0.2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spans="1:26" ht="12.75" x14ac:dyDescent="0.2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spans="1:26" ht="12.75" x14ac:dyDescent="0.2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 spans="1:26" ht="12.75" x14ac:dyDescent="0.2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C9438-E5F6-4293-A4DF-2E1A66675C12}">
  <sheetPr>
    <tabColor theme="6" tint="-0.249977111117893"/>
  </sheetPr>
  <dimension ref="B2:N29"/>
  <sheetViews>
    <sheetView zoomScale="130" zoomScaleNormal="130" workbookViewId="0">
      <selection activeCell="A47" sqref="A47:A48"/>
    </sheetView>
  </sheetViews>
  <sheetFormatPr defaultRowHeight="12.75" x14ac:dyDescent="0.2"/>
  <cols>
    <col min="1" max="1" width="9.140625" style="9"/>
    <col min="2" max="2" width="15.42578125" style="9" bestFit="1" customWidth="1"/>
    <col min="3" max="16384" width="9.140625" style="9"/>
  </cols>
  <sheetData>
    <row r="2" spans="2:14" x14ac:dyDescent="0.2">
      <c r="C2" s="9" t="s">
        <v>70</v>
      </c>
      <c r="D2" s="9" t="s">
        <v>71</v>
      </c>
      <c r="E2" s="9" t="s">
        <v>72</v>
      </c>
      <c r="F2" s="9" t="s">
        <v>73</v>
      </c>
      <c r="G2" s="9" t="s">
        <v>39</v>
      </c>
      <c r="H2" s="9" t="s">
        <v>74</v>
      </c>
      <c r="I2" s="9" t="s">
        <v>75</v>
      </c>
      <c r="J2" s="9" t="s">
        <v>76</v>
      </c>
      <c r="K2" s="9" t="s">
        <v>77</v>
      </c>
      <c r="L2" s="9" t="s">
        <v>78</v>
      </c>
      <c r="M2" s="9" t="s">
        <v>79</v>
      </c>
      <c r="N2" s="9" t="s">
        <v>80</v>
      </c>
    </row>
    <row r="3" spans="2:14" x14ac:dyDescent="0.2">
      <c r="B3" s="9" t="s">
        <v>82</v>
      </c>
      <c r="C3" s="9">
        <v>2</v>
      </c>
      <c r="D3" s="9">
        <v>1</v>
      </c>
      <c r="E3" s="9">
        <v>2</v>
      </c>
      <c r="L3" s="9">
        <v>1</v>
      </c>
    </row>
    <row r="4" spans="2:14" x14ac:dyDescent="0.2">
      <c r="B4" s="9" t="s">
        <v>83</v>
      </c>
      <c r="D4" s="9">
        <v>3</v>
      </c>
      <c r="E4" s="9">
        <v>3</v>
      </c>
      <c r="F4" s="9">
        <v>4</v>
      </c>
      <c r="G4" s="9">
        <v>4</v>
      </c>
      <c r="H4" s="9">
        <v>6</v>
      </c>
      <c r="I4" s="9">
        <v>5</v>
      </c>
      <c r="K4" s="9">
        <v>4</v>
      </c>
      <c r="L4" s="9">
        <v>4</v>
      </c>
      <c r="M4" s="9">
        <v>6</v>
      </c>
      <c r="N4" s="9">
        <v>8</v>
      </c>
    </row>
    <row r="5" spans="2:14" x14ac:dyDescent="0.2">
      <c r="B5" s="9" t="s">
        <v>84</v>
      </c>
      <c r="D5" s="9">
        <v>2</v>
      </c>
      <c r="H5" s="9">
        <v>1</v>
      </c>
      <c r="I5" s="9">
        <v>1</v>
      </c>
      <c r="J5" s="9">
        <v>1</v>
      </c>
      <c r="K5" s="9">
        <v>1</v>
      </c>
    </row>
    <row r="6" spans="2:14" x14ac:dyDescent="0.2">
      <c r="B6" s="9" t="s">
        <v>85</v>
      </c>
      <c r="C6" s="9">
        <v>13</v>
      </c>
      <c r="D6" s="9">
        <v>14</v>
      </c>
      <c r="E6" s="9">
        <v>22</v>
      </c>
      <c r="F6" s="9">
        <v>20</v>
      </c>
      <c r="G6" s="9">
        <v>19</v>
      </c>
      <c r="H6" s="9">
        <v>21</v>
      </c>
      <c r="I6" s="9">
        <v>14</v>
      </c>
      <c r="J6" s="9">
        <v>19</v>
      </c>
      <c r="K6" s="9">
        <v>23</v>
      </c>
      <c r="L6" s="9">
        <v>21</v>
      </c>
      <c r="M6" s="9">
        <v>28</v>
      </c>
      <c r="N6" s="9">
        <v>32</v>
      </c>
    </row>
    <row r="7" spans="2:14" x14ac:dyDescent="0.2">
      <c r="B7" s="9" t="s">
        <v>86</v>
      </c>
      <c r="C7" s="9">
        <v>11</v>
      </c>
      <c r="D7" s="9">
        <v>20</v>
      </c>
      <c r="E7" s="9">
        <v>27</v>
      </c>
      <c r="F7" s="9">
        <v>17</v>
      </c>
      <c r="G7" s="9">
        <v>18</v>
      </c>
      <c r="H7" s="9">
        <v>25</v>
      </c>
      <c r="I7" s="9">
        <v>20</v>
      </c>
      <c r="J7" s="9">
        <v>13</v>
      </c>
      <c r="K7" s="9">
        <v>18</v>
      </c>
      <c r="L7" s="9">
        <v>26</v>
      </c>
      <c r="M7" s="9">
        <v>25</v>
      </c>
      <c r="N7" s="9">
        <v>44</v>
      </c>
    </row>
    <row r="8" spans="2:14" x14ac:dyDescent="0.2">
      <c r="B8" s="9" t="s">
        <v>87</v>
      </c>
      <c r="D8" s="9">
        <v>1</v>
      </c>
      <c r="E8" s="9">
        <v>1</v>
      </c>
      <c r="H8" s="9">
        <v>1</v>
      </c>
      <c r="M8" s="9">
        <v>1</v>
      </c>
      <c r="N8" s="9">
        <v>1</v>
      </c>
    </row>
    <row r="9" spans="2:14" x14ac:dyDescent="0.2">
      <c r="B9" s="9" t="s">
        <v>88</v>
      </c>
      <c r="F9" s="9">
        <v>1</v>
      </c>
      <c r="H9" s="9">
        <v>1</v>
      </c>
      <c r="I9" s="9">
        <v>1</v>
      </c>
      <c r="L9" s="9">
        <v>1</v>
      </c>
    </row>
    <row r="10" spans="2:14" x14ac:dyDescent="0.2">
      <c r="B10" s="9" t="s">
        <v>89</v>
      </c>
      <c r="K10" s="9">
        <v>2</v>
      </c>
      <c r="M10" s="9">
        <v>1</v>
      </c>
    </row>
    <row r="11" spans="2:14" x14ac:dyDescent="0.2">
      <c r="B11" s="9" t="s">
        <v>90</v>
      </c>
      <c r="D11" s="9">
        <v>2</v>
      </c>
      <c r="E11" s="9">
        <v>2</v>
      </c>
      <c r="F11" s="9">
        <v>1</v>
      </c>
      <c r="G11" s="9">
        <v>3</v>
      </c>
      <c r="J11" s="9">
        <v>2</v>
      </c>
      <c r="K11" s="9">
        <v>3</v>
      </c>
      <c r="L11" s="9">
        <v>2</v>
      </c>
      <c r="M11" s="9">
        <v>2</v>
      </c>
      <c r="N11" s="9">
        <v>3</v>
      </c>
    </row>
    <row r="12" spans="2:14" x14ac:dyDescent="0.2">
      <c r="B12" s="9" t="s">
        <v>91</v>
      </c>
      <c r="C12" s="9">
        <v>4</v>
      </c>
      <c r="D12" s="9">
        <v>5</v>
      </c>
      <c r="E12" s="9">
        <v>4</v>
      </c>
      <c r="F12" s="9">
        <v>3</v>
      </c>
      <c r="G12" s="9">
        <v>3</v>
      </c>
      <c r="H12" s="9">
        <v>5</v>
      </c>
      <c r="I12" s="9">
        <v>5</v>
      </c>
      <c r="J12" s="9">
        <v>3</v>
      </c>
      <c r="K12" s="9">
        <v>3</v>
      </c>
      <c r="L12" s="9">
        <v>4</v>
      </c>
      <c r="M12" s="9">
        <v>5</v>
      </c>
      <c r="N12" s="9">
        <v>8</v>
      </c>
    </row>
    <row r="13" spans="2:14" x14ac:dyDescent="0.2">
      <c r="B13" s="9" t="s">
        <v>92</v>
      </c>
      <c r="D13" s="9">
        <v>1</v>
      </c>
      <c r="E13" s="9">
        <v>2</v>
      </c>
      <c r="F13" s="9">
        <v>2</v>
      </c>
      <c r="J13" s="9">
        <v>1</v>
      </c>
      <c r="K13" s="9">
        <v>1</v>
      </c>
      <c r="L13" s="9">
        <v>1</v>
      </c>
      <c r="N13" s="9">
        <v>2</v>
      </c>
    </row>
    <row r="14" spans="2:14" x14ac:dyDescent="0.2">
      <c r="B14" s="10" t="s">
        <v>65</v>
      </c>
      <c r="C14" s="10">
        <f>SUM(C3:C13)</f>
        <v>30</v>
      </c>
      <c r="D14" s="10">
        <f t="shared" ref="D14:N14" si="0">SUM(D3:D13)</f>
        <v>49</v>
      </c>
      <c r="E14" s="10">
        <f t="shared" si="0"/>
        <v>63</v>
      </c>
      <c r="F14" s="10">
        <f t="shared" si="0"/>
        <v>48</v>
      </c>
      <c r="G14" s="10">
        <f t="shared" si="0"/>
        <v>47</v>
      </c>
      <c r="H14" s="10">
        <f t="shared" si="0"/>
        <v>60</v>
      </c>
      <c r="I14" s="10">
        <f t="shared" si="0"/>
        <v>46</v>
      </c>
      <c r="J14" s="10">
        <f t="shared" si="0"/>
        <v>39</v>
      </c>
      <c r="K14" s="10">
        <f t="shared" si="0"/>
        <v>55</v>
      </c>
      <c r="L14" s="10">
        <f t="shared" si="0"/>
        <v>60</v>
      </c>
      <c r="M14" s="10">
        <f t="shared" si="0"/>
        <v>68</v>
      </c>
      <c r="N14" s="10">
        <f t="shared" si="0"/>
        <v>98</v>
      </c>
    </row>
    <row r="17" spans="2:14" x14ac:dyDescent="0.2">
      <c r="B17" s="9" t="s">
        <v>85</v>
      </c>
      <c r="C17" s="9">
        <f>SUM(C5:C7)</f>
        <v>24</v>
      </c>
      <c r="D17" s="9">
        <f t="shared" ref="D17:N17" si="1">SUM(D5:D7)</f>
        <v>36</v>
      </c>
      <c r="E17" s="9">
        <f t="shared" si="1"/>
        <v>49</v>
      </c>
      <c r="F17" s="9">
        <f t="shared" si="1"/>
        <v>37</v>
      </c>
      <c r="G17" s="9">
        <f t="shared" si="1"/>
        <v>37</v>
      </c>
      <c r="H17" s="9">
        <f t="shared" si="1"/>
        <v>47</v>
      </c>
      <c r="I17" s="9">
        <f t="shared" si="1"/>
        <v>35</v>
      </c>
      <c r="J17" s="9">
        <f t="shared" si="1"/>
        <v>33</v>
      </c>
      <c r="K17" s="9">
        <f t="shared" si="1"/>
        <v>42</v>
      </c>
      <c r="L17" s="9">
        <f t="shared" si="1"/>
        <v>47</v>
      </c>
      <c r="M17" s="9">
        <f t="shared" si="1"/>
        <v>53</v>
      </c>
      <c r="N17" s="9">
        <f t="shared" si="1"/>
        <v>76</v>
      </c>
    </row>
    <row r="18" spans="2:14" x14ac:dyDescent="0.2">
      <c r="B18" s="9" t="s">
        <v>6</v>
      </c>
      <c r="C18" s="9">
        <f>SUM(C3:C4)</f>
        <v>2</v>
      </c>
      <c r="D18" s="9">
        <f t="shared" ref="D18:N18" si="2">SUM(D3:D4)</f>
        <v>4</v>
      </c>
      <c r="E18" s="9">
        <f t="shared" si="2"/>
        <v>5</v>
      </c>
      <c r="F18" s="9">
        <f t="shared" si="2"/>
        <v>4</v>
      </c>
      <c r="G18" s="9">
        <f t="shared" si="2"/>
        <v>4</v>
      </c>
      <c r="H18" s="9">
        <f t="shared" si="2"/>
        <v>6</v>
      </c>
      <c r="I18" s="9">
        <f t="shared" si="2"/>
        <v>5</v>
      </c>
      <c r="J18" s="9">
        <f t="shared" si="2"/>
        <v>0</v>
      </c>
      <c r="K18" s="9">
        <f t="shared" si="2"/>
        <v>4</v>
      </c>
      <c r="L18" s="9">
        <f t="shared" si="2"/>
        <v>5</v>
      </c>
      <c r="M18" s="9">
        <f t="shared" si="2"/>
        <v>6</v>
      </c>
      <c r="N18" s="9">
        <f t="shared" si="2"/>
        <v>8</v>
      </c>
    </row>
    <row r="19" spans="2:14" x14ac:dyDescent="0.2">
      <c r="B19" s="9" t="s">
        <v>8</v>
      </c>
      <c r="C19" s="9">
        <f>SUM(C12:C13)</f>
        <v>4</v>
      </c>
      <c r="D19" s="9">
        <f t="shared" ref="D19:N19" si="3">SUM(D12:D13)</f>
        <v>6</v>
      </c>
      <c r="E19" s="9">
        <f t="shared" si="3"/>
        <v>6</v>
      </c>
      <c r="F19" s="9">
        <f t="shared" si="3"/>
        <v>5</v>
      </c>
      <c r="G19" s="9">
        <f t="shared" si="3"/>
        <v>3</v>
      </c>
      <c r="H19" s="9">
        <f t="shared" si="3"/>
        <v>5</v>
      </c>
      <c r="I19" s="9">
        <f t="shared" si="3"/>
        <v>5</v>
      </c>
      <c r="J19" s="9">
        <f t="shared" si="3"/>
        <v>4</v>
      </c>
      <c r="K19" s="9">
        <f t="shared" si="3"/>
        <v>4</v>
      </c>
      <c r="L19" s="9">
        <f t="shared" si="3"/>
        <v>5</v>
      </c>
      <c r="M19" s="9">
        <f t="shared" si="3"/>
        <v>5</v>
      </c>
      <c r="N19" s="9">
        <f t="shared" si="3"/>
        <v>10</v>
      </c>
    </row>
    <row r="20" spans="2:14" x14ac:dyDescent="0.2">
      <c r="B20" s="9" t="s">
        <v>93</v>
      </c>
      <c r="C20" s="9">
        <f>SUM(C8:C11)</f>
        <v>0</v>
      </c>
      <c r="D20" s="9">
        <f t="shared" ref="D20:N20" si="4">SUM(D8:D11)</f>
        <v>3</v>
      </c>
      <c r="E20" s="9">
        <f t="shared" si="4"/>
        <v>3</v>
      </c>
      <c r="F20" s="9">
        <f t="shared" si="4"/>
        <v>2</v>
      </c>
      <c r="G20" s="9">
        <f t="shared" si="4"/>
        <v>3</v>
      </c>
      <c r="H20" s="9">
        <f t="shared" si="4"/>
        <v>2</v>
      </c>
      <c r="I20" s="9">
        <f t="shared" si="4"/>
        <v>1</v>
      </c>
      <c r="J20" s="9">
        <f t="shared" si="4"/>
        <v>2</v>
      </c>
      <c r="K20" s="9">
        <f t="shared" si="4"/>
        <v>5</v>
      </c>
      <c r="L20" s="9">
        <f t="shared" si="4"/>
        <v>3</v>
      </c>
      <c r="M20" s="9">
        <f t="shared" si="4"/>
        <v>4</v>
      </c>
      <c r="N20" s="9">
        <f t="shared" si="4"/>
        <v>4</v>
      </c>
    </row>
    <row r="21" spans="2:14" x14ac:dyDescent="0.2">
      <c r="B21" s="11" t="s">
        <v>65</v>
      </c>
      <c r="C21" s="10">
        <f>SUM(C17:C20)</f>
        <v>30</v>
      </c>
      <c r="D21" s="10">
        <f t="shared" ref="D21:N21" si="5">SUM(D17:D20)</f>
        <v>49</v>
      </c>
      <c r="E21" s="10">
        <f t="shared" si="5"/>
        <v>63</v>
      </c>
      <c r="F21" s="10">
        <f t="shared" si="5"/>
        <v>48</v>
      </c>
      <c r="G21" s="10">
        <f t="shared" si="5"/>
        <v>47</v>
      </c>
      <c r="H21" s="10">
        <f t="shared" si="5"/>
        <v>60</v>
      </c>
      <c r="I21" s="10">
        <f t="shared" si="5"/>
        <v>46</v>
      </c>
      <c r="J21" s="10">
        <f t="shared" si="5"/>
        <v>39</v>
      </c>
      <c r="K21" s="10">
        <f t="shared" si="5"/>
        <v>55</v>
      </c>
      <c r="L21" s="10">
        <f t="shared" si="5"/>
        <v>60</v>
      </c>
      <c r="M21" s="10">
        <f t="shared" si="5"/>
        <v>68</v>
      </c>
      <c r="N21" s="10">
        <f t="shared" si="5"/>
        <v>98</v>
      </c>
    </row>
    <row r="23" spans="2:14" x14ac:dyDescent="0.2">
      <c r="B23" s="9" t="s">
        <v>69</v>
      </c>
    </row>
    <row r="25" spans="2:14" x14ac:dyDescent="0.2">
      <c r="B25" s="9" t="s">
        <v>85</v>
      </c>
      <c r="E25" s="9">
        <f>SUM(C17:E17)</f>
        <v>109</v>
      </c>
      <c r="H25" s="9">
        <f>SUM(F17:H17)</f>
        <v>121</v>
      </c>
      <c r="K25" s="9">
        <f>SUM(I17:K17)</f>
        <v>110</v>
      </c>
      <c r="N25" s="9">
        <f>SUM(L17:N17)</f>
        <v>176</v>
      </c>
    </row>
    <row r="26" spans="2:14" x14ac:dyDescent="0.2">
      <c r="B26" s="9" t="s">
        <v>6</v>
      </c>
      <c r="E26" s="9">
        <f t="shared" ref="E26:E28" si="6">SUM(C18:E18)</f>
        <v>11</v>
      </c>
      <c r="H26" s="9">
        <f t="shared" ref="H26:H28" si="7">SUM(F18:H18)</f>
        <v>14</v>
      </c>
      <c r="K26" s="9">
        <f t="shared" ref="K26:K28" si="8">SUM(I18:K18)</f>
        <v>9</v>
      </c>
      <c r="N26" s="9">
        <f t="shared" ref="N26:N28" si="9">SUM(L18:N18)</f>
        <v>19</v>
      </c>
    </row>
    <row r="27" spans="2:14" x14ac:dyDescent="0.2">
      <c r="B27" s="9" t="s">
        <v>8</v>
      </c>
      <c r="E27" s="9">
        <f t="shared" si="6"/>
        <v>16</v>
      </c>
      <c r="H27" s="9">
        <f t="shared" si="7"/>
        <v>13</v>
      </c>
      <c r="K27" s="9">
        <f t="shared" si="8"/>
        <v>13</v>
      </c>
      <c r="N27" s="9">
        <f t="shared" si="9"/>
        <v>20</v>
      </c>
    </row>
    <row r="28" spans="2:14" x14ac:dyDescent="0.2">
      <c r="B28" s="9" t="s">
        <v>93</v>
      </c>
      <c r="E28" s="9">
        <f t="shared" si="6"/>
        <v>6</v>
      </c>
      <c r="H28" s="9">
        <f t="shared" si="7"/>
        <v>7</v>
      </c>
      <c r="K28" s="9">
        <f t="shared" si="8"/>
        <v>8</v>
      </c>
      <c r="N28" s="9">
        <f t="shared" si="9"/>
        <v>11</v>
      </c>
    </row>
    <row r="29" spans="2:14" x14ac:dyDescent="0.2">
      <c r="B29" s="11" t="s">
        <v>65</v>
      </c>
      <c r="C29" s="10"/>
      <c r="D29" s="10"/>
      <c r="E29" s="10">
        <f t="shared" ref="E29" si="10">SUM(E25:E28)</f>
        <v>142</v>
      </c>
      <c r="F29" s="10"/>
      <c r="G29" s="10"/>
      <c r="H29" s="10">
        <f t="shared" ref="H29" si="11">SUM(H25:H28)</f>
        <v>155</v>
      </c>
      <c r="I29" s="10"/>
      <c r="J29" s="10"/>
      <c r="K29" s="10">
        <f t="shared" ref="K29" si="12">SUM(K25:K28)</f>
        <v>140</v>
      </c>
      <c r="L29" s="10"/>
      <c r="M29" s="10"/>
      <c r="N29" s="10">
        <f t="shared" ref="N29" si="13">SUM(N25:N28)</f>
        <v>226</v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CC890-2D77-4364-A5BA-15A471D35D60}">
  <sheetPr>
    <tabColor theme="6" tint="-0.249977111117893"/>
  </sheetPr>
  <dimension ref="A1:BT62"/>
  <sheetViews>
    <sheetView showGridLines="0" topLeftCell="AT16" zoomScale="85" zoomScaleNormal="85" workbookViewId="0">
      <selection activeCell="A47" sqref="A47:A48"/>
    </sheetView>
  </sheetViews>
  <sheetFormatPr defaultRowHeight="14.25" x14ac:dyDescent="0.2"/>
  <cols>
    <col min="1" max="1" width="20.140625" style="5" bestFit="1" customWidth="1"/>
    <col min="2" max="16384" width="9.140625" style="5"/>
  </cols>
  <sheetData>
    <row r="1" spans="1:72" x14ac:dyDescent="0.2">
      <c r="A1" s="5" t="s">
        <v>26</v>
      </c>
      <c r="B1" s="5" t="s">
        <v>27</v>
      </c>
    </row>
    <row r="2" spans="1:72" x14ac:dyDescent="0.2">
      <c r="B2" s="5">
        <v>2013</v>
      </c>
      <c r="C2" s="5">
        <v>2014</v>
      </c>
      <c r="D2" s="5">
        <v>2015</v>
      </c>
      <c r="E2" s="5">
        <v>2016</v>
      </c>
      <c r="F2" s="5">
        <v>2017</v>
      </c>
      <c r="G2" s="5">
        <v>2018</v>
      </c>
      <c r="S2" s="5" t="s">
        <v>28</v>
      </c>
      <c r="T2" s="5">
        <v>2019</v>
      </c>
      <c r="AF2" s="5" t="s">
        <v>29</v>
      </c>
      <c r="AG2" s="5">
        <v>2020</v>
      </c>
      <c r="AS2" s="5" t="s">
        <v>30</v>
      </c>
      <c r="AT2" s="5">
        <v>2021</v>
      </c>
      <c r="BF2" s="5" t="s">
        <v>31</v>
      </c>
      <c r="BG2" s="5">
        <v>2022</v>
      </c>
      <c r="BS2" s="5" t="s">
        <v>32</v>
      </c>
      <c r="BT2" s="5" t="s">
        <v>33</v>
      </c>
    </row>
    <row r="3" spans="1:72" x14ac:dyDescent="0.2">
      <c r="A3" s="5" t="s">
        <v>34</v>
      </c>
      <c r="G3" s="5" t="s">
        <v>35</v>
      </c>
      <c r="H3" s="5" t="s">
        <v>36</v>
      </c>
      <c r="I3" s="5" t="s">
        <v>37</v>
      </c>
      <c r="J3" s="5" t="s">
        <v>38</v>
      </c>
      <c r="K3" s="5" t="s">
        <v>39</v>
      </c>
      <c r="L3" s="5" t="s">
        <v>40</v>
      </c>
      <c r="M3" s="5" t="s">
        <v>41</v>
      </c>
      <c r="N3" s="5" t="s">
        <v>42</v>
      </c>
      <c r="O3" s="5" t="s">
        <v>43</v>
      </c>
      <c r="P3" s="5" t="s">
        <v>44</v>
      </c>
      <c r="Q3" s="5" t="s">
        <v>45</v>
      </c>
      <c r="R3" s="5" t="s">
        <v>46</v>
      </c>
      <c r="T3" s="5" t="s">
        <v>35</v>
      </c>
      <c r="U3" s="5" t="s">
        <v>36</v>
      </c>
      <c r="V3" s="5" t="s">
        <v>37</v>
      </c>
      <c r="W3" s="5" t="s">
        <v>38</v>
      </c>
      <c r="X3" s="5" t="s">
        <v>39</v>
      </c>
      <c r="Y3" s="5" t="s">
        <v>40</v>
      </c>
      <c r="Z3" s="5" t="s">
        <v>41</v>
      </c>
      <c r="AA3" s="5" t="s">
        <v>42</v>
      </c>
      <c r="AB3" s="5" t="s">
        <v>43</v>
      </c>
      <c r="AC3" s="5" t="s">
        <v>44</v>
      </c>
      <c r="AD3" s="5" t="s">
        <v>45</v>
      </c>
      <c r="AE3" s="5" t="s">
        <v>46</v>
      </c>
      <c r="AG3" s="5" t="s">
        <v>35</v>
      </c>
      <c r="AH3" s="5" t="s">
        <v>36</v>
      </c>
      <c r="AI3" s="5" t="s">
        <v>37</v>
      </c>
      <c r="AJ3" s="5" t="s">
        <v>38</v>
      </c>
      <c r="AK3" s="5" t="s">
        <v>39</v>
      </c>
      <c r="AL3" s="5" t="s">
        <v>40</v>
      </c>
      <c r="AM3" s="5" t="s">
        <v>41</v>
      </c>
      <c r="AN3" s="5" t="s">
        <v>42</v>
      </c>
      <c r="AO3" s="5" t="s">
        <v>43</v>
      </c>
      <c r="AP3" s="5" t="s">
        <v>44</v>
      </c>
      <c r="AQ3" s="5" t="s">
        <v>45</v>
      </c>
      <c r="AR3" s="5" t="s">
        <v>46</v>
      </c>
      <c r="AT3" s="5" t="s">
        <v>35</v>
      </c>
      <c r="AU3" s="5" t="s">
        <v>36</v>
      </c>
      <c r="AV3" s="5" t="s">
        <v>37</v>
      </c>
      <c r="AW3" s="5" t="s">
        <v>38</v>
      </c>
      <c r="AX3" s="5" t="s">
        <v>39</v>
      </c>
      <c r="AY3" s="5" t="s">
        <v>40</v>
      </c>
      <c r="AZ3" s="5" t="s">
        <v>41</v>
      </c>
      <c r="BA3" s="5" t="s">
        <v>42</v>
      </c>
      <c r="BB3" s="5" t="s">
        <v>43</v>
      </c>
      <c r="BC3" s="5" t="s">
        <v>44</v>
      </c>
      <c r="BD3" s="5" t="s">
        <v>45</v>
      </c>
      <c r="BE3" s="5" t="s">
        <v>46</v>
      </c>
      <c r="BG3" s="5" t="s">
        <v>35</v>
      </c>
      <c r="BH3" s="5" t="s">
        <v>36</v>
      </c>
      <c r="BI3" s="5" t="s">
        <v>37</v>
      </c>
      <c r="BJ3" s="5" t="s">
        <v>38</v>
      </c>
      <c r="BK3" s="5" t="s">
        <v>39</v>
      </c>
      <c r="BL3" s="5" t="s">
        <v>40</v>
      </c>
      <c r="BM3" s="5" t="s">
        <v>41</v>
      </c>
      <c r="BN3" s="5" t="s">
        <v>42</v>
      </c>
      <c r="BO3" s="5" t="s">
        <v>43</v>
      </c>
      <c r="BP3" s="5" t="s">
        <v>44</v>
      </c>
      <c r="BQ3" s="5" t="s">
        <v>45</v>
      </c>
      <c r="BR3" s="5" t="s">
        <v>46</v>
      </c>
    </row>
    <row r="4" spans="1:72" x14ac:dyDescent="0.2">
      <c r="A4" s="5" t="s">
        <v>10</v>
      </c>
      <c r="F4" s="5">
        <v>74</v>
      </c>
      <c r="G4" s="5">
        <v>9</v>
      </c>
      <c r="H4" s="5">
        <v>25</v>
      </c>
      <c r="I4" s="5">
        <v>26</v>
      </c>
      <c r="J4" s="5">
        <v>5</v>
      </c>
      <c r="K4" s="5">
        <v>18</v>
      </c>
      <c r="L4" s="5">
        <v>14</v>
      </c>
      <c r="M4" s="5">
        <v>34</v>
      </c>
      <c r="N4" s="5">
        <v>1</v>
      </c>
      <c r="O4" s="5">
        <v>26</v>
      </c>
      <c r="P4" s="5">
        <v>7</v>
      </c>
      <c r="Q4" s="5">
        <v>16</v>
      </c>
      <c r="R4" s="5">
        <v>75</v>
      </c>
      <c r="S4" s="5">
        <v>256</v>
      </c>
      <c r="U4" s="5">
        <v>4</v>
      </c>
      <c r="V4" s="5">
        <v>7</v>
      </c>
      <c r="W4" s="5">
        <v>2</v>
      </c>
      <c r="X4" s="5">
        <v>6</v>
      </c>
      <c r="Y4" s="5">
        <v>2</v>
      </c>
      <c r="Z4" s="5">
        <v>10</v>
      </c>
      <c r="AB4" s="5">
        <v>5</v>
      </c>
      <c r="AC4" s="5">
        <v>1</v>
      </c>
      <c r="AD4" s="5">
        <v>2</v>
      </c>
      <c r="AE4" s="5">
        <v>18</v>
      </c>
      <c r="AF4" s="5">
        <v>57</v>
      </c>
      <c r="AH4" s="5">
        <v>10</v>
      </c>
      <c r="AK4" s="5">
        <v>1</v>
      </c>
      <c r="AL4" s="5">
        <v>4</v>
      </c>
      <c r="AM4" s="5">
        <v>5</v>
      </c>
      <c r="AP4" s="5">
        <v>1</v>
      </c>
      <c r="AQ4" s="5">
        <v>3</v>
      </c>
      <c r="AR4" s="5">
        <v>3</v>
      </c>
      <c r="AS4" s="5">
        <v>27</v>
      </c>
      <c r="AU4" s="5">
        <v>22</v>
      </c>
      <c r="AV4" s="5">
        <v>32</v>
      </c>
      <c r="AW4" s="5">
        <v>7</v>
      </c>
      <c r="AX4" s="5">
        <v>26</v>
      </c>
      <c r="AY4" s="5">
        <v>13</v>
      </c>
      <c r="AZ4" s="5">
        <v>35</v>
      </c>
      <c r="BA4" s="5">
        <v>3</v>
      </c>
      <c r="BB4" s="5">
        <v>3</v>
      </c>
      <c r="BC4" s="5">
        <v>6</v>
      </c>
      <c r="BD4" s="5">
        <v>47</v>
      </c>
      <c r="BE4" s="5">
        <v>51</v>
      </c>
      <c r="BF4" s="5">
        <v>245</v>
      </c>
      <c r="BG4" s="5">
        <v>5</v>
      </c>
      <c r="BH4" s="5">
        <v>24</v>
      </c>
      <c r="BI4" s="5">
        <v>70</v>
      </c>
      <c r="BJ4" s="5">
        <v>38</v>
      </c>
      <c r="BK4" s="5">
        <v>31</v>
      </c>
      <c r="BL4" s="5">
        <v>19</v>
      </c>
      <c r="BM4" s="5">
        <v>35</v>
      </c>
      <c r="BN4" s="5">
        <v>25</v>
      </c>
      <c r="BO4" s="5">
        <v>19</v>
      </c>
      <c r="BP4" s="5">
        <v>18</v>
      </c>
      <c r="BQ4" s="5">
        <v>44</v>
      </c>
      <c r="BR4" s="5">
        <v>46</v>
      </c>
      <c r="BS4" s="5">
        <v>374</v>
      </c>
      <c r="BT4" s="5">
        <v>1033</v>
      </c>
    </row>
    <row r="5" spans="1:72" x14ac:dyDescent="0.2">
      <c r="A5" s="5" t="s">
        <v>47</v>
      </c>
      <c r="B5" s="5">
        <v>12</v>
      </c>
      <c r="C5" s="5">
        <v>11</v>
      </c>
      <c r="D5" s="5">
        <v>7</v>
      </c>
      <c r="E5" s="5">
        <v>6</v>
      </c>
      <c r="F5" s="5">
        <v>4</v>
      </c>
      <c r="Q5" s="5">
        <v>2</v>
      </c>
      <c r="S5" s="5">
        <v>2</v>
      </c>
      <c r="BT5" s="5">
        <v>42</v>
      </c>
    </row>
    <row r="6" spans="1:72" x14ac:dyDescent="0.2">
      <c r="A6" s="5" t="s">
        <v>48</v>
      </c>
      <c r="C6" s="5">
        <v>2</v>
      </c>
      <c r="E6" s="5">
        <v>3</v>
      </c>
      <c r="AB6" s="5">
        <v>2</v>
      </c>
      <c r="AF6" s="5">
        <v>2</v>
      </c>
      <c r="BT6" s="5">
        <v>7</v>
      </c>
    </row>
    <row r="7" spans="1:72" x14ac:dyDescent="0.2">
      <c r="A7" s="5" t="s">
        <v>49</v>
      </c>
      <c r="B7" s="5">
        <v>347</v>
      </c>
      <c r="C7" s="5">
        <v>386</v>
      </c>
      <c r="D7" s="5">
        <v>396</v>
      </c>
      <c r="E7" s="5">
        <v>411</v>
      </c>
      <c r="F7" s="5">
        <v>397</v>
      </c>
      <c r="G7" s="5">
        <v>3</v>
      </c>
      <c r="H7" s="5">
        <v>20</v>
      </c>
      <c r="I7" s="5">
        <v>18</v>
      </c>
      <c r="J7" s="5">
        <v>6</v>
      </c>
      <c r="K7" s="5">
        <v>20</v>
      </c>
      <c r="L7" s="5">
        <v>63</v>
      </c>
      <c r="M7" s="5">
        <v>33</v>
      </c>
      <c r="N7" s="5">
        <v>4</v>
      </c>
      <c r="O7" s="5">
        <v>18</v>
      </c>
      <c r="P7" s="5">
        <v>13</v>
      </c>
      <c r="Q7" s="5">
        <v>12</v>
      </c>
      <c r="R7" s="5">
        <v>59</v>
      </c>
      <c r="S7" s="5">
        <v>269</v>
      </c>
      <c r="U7" s="5">
        <v>6</v>
      </c>
      <c r="X7" s="5">
        <v>1</v>
      </c>
      <c r="Z7" s="5">
        <v>11</v>
      </c>
      <c r="AD7" s="5">
        <v>3</v>
      </c>
      <c r="AE7" s="5">
        <v>7</v>
      </c>
      <c r="AF7" s="5">
        <v>28</v>
      </c>
      <c r="AM7" s="5">
        <v>2</v>
      </c>
      <c r="AS7" s="5">
        <v>2</v>
      </c>
      <c r="BT7" s="5">
        <v>2236</v>
      </c>
    </row>
    <row r="8" spans="1:72" x14ac:dyDescent="0.2">
      <c r="A8" s="5" t="s">
        <v>50</v>
      </c>
      <c r="B8" s="5">
        <v>8</v>
      </c>
      <c r="C8" s="5">
        <v>13</v>
      </c>
      <c r="D8" s="5">
        <v>15</v>
      </c>
      <c r="E8" s="5">
        <v>18</v>
      </c>
      <c r="F8" s="5">
        <v>17</v>
      </c>
      <c r="G8" s="5">
        <v>11</v>
      </c>
      <c r="I8" s="5">
        <v>7</v>
      </c>
      <c r="S8" s="5">
        <v>18</v>
      </c>
      <c r="T8" s="5">
        <v>4</v>
      </c>
      <c r="V8" s="5">
        <v>13</v>
      </c>
      <c r="AF8" s="5">
        <v>17</v>
      </c>
      <c r="AG8" s="5">
        <v>10</v>
      </c>
      <c r="AI8" s="5">
        <v>1</v>
      </c>
      <c r="AK8" s="5">
        <v>3</v>
      </c>
      <c r="AS8" s="5">
        <v>14</v>
      </c>
      <c r="AT8" s="5">
        <v>14</v>
      </c>
      <c r="AV8" s="5">
        <v>2</v>
      </c>
      <c r="BF8" s="5">
        <v>16</v>
      </c>
      <c r="BG8" s="5">
        <v>1</v>
      </c>
      <c r="BI8" s="5">
        <v>11</v>
      </c>
      <c r="BS8" s="5">
        <v>12</v>
      </c>
      <c r="BT8" s="5">
        <v>148</v>
      </c>
    </row>
    <row r="9" spans="1:72" x14ac:dyDescent="0.2">
      <c r="A9" s="5" t="s">
        <v>51</v>
      </c>
      <c r="B9" s="5">
        <v>67</v>
      </c>
      <c r="C9" s="5">
        <v>70</v>
      </c>
      <c r="D9" s="5">
        <v>73</v>
      </c>
      <c r="E9" s="5">
        <v>52</v>
      </c>
      <c r="F9" s="5">
        <v>37</v>
      </c>
      <c r="H9" s="5">
        <v>2</v>
      </c>
      <c r="I9" s="5">
        <v>5</v>
      </c>
      <c r="N9" s="5">
        <v>12</v>
      </c>
      <c r="P9" s="5">
        <v>3</v>
      </c>
      <c r="R9" s="5">
        <v>12</v>
      </c>
      <c r="S9" s="5">
        <v>34</v>
      </c>
      <c r="V9" s="5">
        <v>5</v>
      </c>
      <c r="AA9" s="5">
        <v>4</v>
      </c>
      <c r="AE9" s="5">
        <v>13</v>
      </c>
      <c r="AF9" s="5">
        <v>22</v>
      </c>
      <c r="BT9" s="5">
        <v>355</v>
      </c>
    </row>
    <row r="10" spans="1:72" x14ac:dyDescent="0.2">
      <c r="A10" s="5" t="s">
        <v>17</v>
      </c>
      <c r="B10" s="5">
        <v>5</v>
      </c>
      <c r="C10" s="5">
        <v>10</v>
      </c>
      <c r="D10" s="5">
        <v>11</v>
      </c>
      <c r="E10" s="5">
        <v>3</v>
      </c>
      <c r="F10" s="5">
        <v>6</v>
      </c>
      <c r="AU10" s="5">
        <v>1</v>
      </c>
      <c r="BF10" s="5">
        <v>1</v>
      </c>
      <c r="BT10" s="5">
        <v>36</v>
      </c>
    </row>
    <row r="11" spans="1:72" x14ac:dyDescent="0.2">
      <c r="A11" s="5" t="s">
        <v>52</v>
      </c>
      <c r="B11" s="5">
        <v>19</v>
      </c>
      <c r="C11" s="5">
        <v>9</v>
      </c>
      <c r="D11" s="5">
        <v>7</v>
      </c>
      <c r="E11" s="5">
        <v>6</v>
      </c>
      <c r="F11" s="5">
        <v>8</v>
      </c>
      <c r="P11" s="5">
        <v>6</v>
      </c>
      <c r="S11" s="5">
        <v>6</v>
      </c>
      <c r="U11" s="5">
        <v>1</v>
      </c>
      <c r="AC11" s="5">
        <v>5</v>
      </c>
      <c r="AD11" s="5">
        <v>1</v>
      </c>
      <c r="AF11" s="5">
        <v>7</v>
      </c>
      <c r="AH11" s="5">
        <v>4</v>
      </c>
      <c r="AK11" s="5">
        <v>1</v>
      </c>
      <c r="AS11" s="5">
        <v>5</v>
      </c>
      <c r="AU11" s="5">
        <v>6</v>
      </c>
      <c r="BF11" s="5">
        <v>6</v>
      </c>
      <c r="BG11" s="5">
        <v>3</v>
      </c>
      <c r="BH11" s="5">
        <v>2</v>
      </c>
      <c r="BS11" s="5">
        <v>5</v>
      </c>
      <c r="BT11" s="5">
        <v>78</v>
      </c>
    </row>
    <row r="12" spans="1:72" x14ac:dyDescent="0.2">
      <c r="A12" s="5" t="s">
        <v>53</v>
      </c>
      <c r="G12" s="5">
        <v>7</v>
      </c>
      <c r="N12" s="5">
        <v>3</v>
      </c>
      <c r="S12" s="5">
        <v>10</v>
      </c>
      <c r="T12" s="5">
        <v>7</v>
      </c>
      <c r="AA12" s="5">
        <v>5</v>
      </c>
      <c r="AB12" s="5">
        <v>11</v>
      </c>
      <c r="AF12" s="5">
        <v>23</v>
      </c>
      <c r="AG12" s="5">
        <v>1</v>
      </c>
      <c r="AN12" s="5">
        <v>4</v>
      </c>
      <c r="AO12" s="5">
        <v>6</v>
      </c>
      <c r="AS12" s="5">
        <v>11</v>
      </c>
      <c r="BA12" s="5">
        <v>2</v>
      </c>
      <c r="BB12" s="5">
        <v>9</v>
      </c>
      <c r="BD12" s="5">
        <v>1</v>
      </c>
      <c r="BE12" s="5">
        <v>1</v>
      </c>
      <c r="BF12" s="5">
        <v>13</v>
      </c>
      <c r="BH12" s="5">
        <v>7</v>
      </c>
      <c r="BN12" s="5">
        <v>1</v>
      </c>
      <c r="BO12" s="5">
        <v>7</v>
      </c>
      <c r="BS12" s="5">
        <v>15</v>
      </c>
      <c r="BT12" s="5">
        <v>72</v>
      </c>
    </row>
    <row r="13" spans="1:72" x14ac:dyDescent="0.2">
      <c r="A13" s="5" t="s">
        <v>54</v>
      </c>
      <c r="B13" s="5">
        <v>9</v>
      </c>
      <c r="C13" s="5">
        <v>1</v>
      </c>
      <c r="BT13" s="5">
        <v>10</v>
      </c>
    </row>
    <row r="14" spans="1:72" x14ac:dyDescent="0.2">
      <c r="A14" s="5" t="s">
        <v>11</v>
      </c>
      <c r="B14" s="5">
        <v>12</v>
      </c>
      <c r="C14" s="5">
        <v>5</v>
      </c>
      <c r="D14" s="5">
        <v>16</v>
      </c>
      <c r="E14" s="5">
        <v>13</v>
      </c>
      <c r="F14" s="5">
        <v>10</v>
      </c>
      <c r="I14" s="5">
        <v>1</v>
      </c>
      <c r="L14" s="5">
        <v>2</v>
      </c>
      <c r="M14" s="5">
        <v>7</v>
      </c>
      <c r="N14" s="5">
        <v>1</v>
      </c>
      <c r="O14" s="5">
        <v>2</v>
      </c>
      <c r="R14" s="5">
        <v>4</v>
      </c>
      <c r="S14" s="5">
        <v>17</v>
      </c>
      <c r="U14" s="5">
        <v>3</v>
      </c>
      <c r="V14" s="5">
        <v>1</v>
      </c>
      <c r="Y14" s="5">
        <v>5</v>
      </c>
      <c r="Z14" s="5">
        <v>11</v>
      </c>
      <c r="AF14" s="5">
        <v>20</v>
      </c>
      <c r="AH14" s="5">
        <v>2</v>
      </c>
      <c r="AI14" s="5">
        <v>2</v>
      </c>
      <c r="AL14" s="5">
        <v>8</v>
      </c>
      <c r="AM14" s="5">
        <v>7</v>
      </c>
      <c r="AS14" s="5">
        <v>19</v>
      </c>
      <c r="AU14" s="5">
        <v>3</v>
      </c>
      <c r="AY14" s="5">
        <v>7</v>
      </c>
      <c r="AZ14" s="5">
        <v>9</v>
      </c>
      <c r="BF14" s="5">
        <v>19</v>
      </c>
      <c r="BH14" s="5">
        <v>1</v>
      </c>
      <c r="BI14" s="5">
        <v>1</v>
      </c>
      <c r="BK14" s="5">
        <v>5</v>
      </c>
      <c r="BL14" s="5">
        <v>3</v>
      </c>
      <c r="BM14" s="5">
        <v>7</v>
      </c>
      <c r="BO14" s="5">
        <v>1</v>
      </c>
      <c r="BS14" s="5">
        <v>18</v>
      </c>
      <c r="BT14" s="5">
        <v>149</v>
      </c>
    </row>
    <row r="15" spans="1:72" x14ac:dyDescent="0.2">
      <c r="A15" s="5" t="s">
        <v>55</v>
      </c>
      <c r="B15" s="5">
        <v>4</v>
      </c>
      <c r="BT15" s="5">
        <v>4</v>
      </c>
    </row>
    <row r="16" spans="1:72" x14ac:dyDescent="0.2">
      <c r="A16" s="5" t="s">
        <v>56</v>
      </c>
      <c r="B16" s="5">
        <v>1</v>
      </c>
      <c r="C16" s="5">
        <v>3</v>
      </c>
      <c r="AC16" s="5">
        <v>1</v>
      </c>
      <c r="AF16" s="5">
        <v>1</v>
      </c>
      <c r="BA16" s="5">
        <v>1</v>
      </c>
      <c r="BF16" s="5">
        <v>1</v>
      </c>
      <c r="BT16" s="5">
        <v>6</v>
      </c>
    </row>
    <row r="17" spans="1:72" x14ac:dyDescent="0.2">
      <c r="A17" s="5" t="s">
        <v>57</v>
      </c>
      <c r="B17" s="5">
        <v>79</v>
      </c>
      <c r="C17" s="5">
        <v>83</v>
      </c>
      <c r="D17" s="5">
        <v>79</v>
      </c>
      <c r="E17" s="5">
        <v>88</v>
      </c>
      <c r="F17" s="5">
        <v>65</v>
      </c>
      <c r="J17" s="5">
        <v>1</v>
      </c>
      <c r="L17" s="5">
        <v>4</v>
      </c>
      <c r="M17" s="5">
        <v>4</v>
      </c>
      <c r="O17" s="5">
        <v>1</v>
      </c>
      <c r="P17" s="5">
        <v>13</v>
      </c>
      <c r="Q17" s="5">
        <v>6</v>
      </c>
      <c r="R17" s="5">
        <v>3</v>
      </c>
      <c r="S17" s="5">
        <v>32</v>
      </c>
      <c r="X17" s="5">
        <v>2</v>
      </c>
      <c r="Z17" s="5">
        <v>6</v>
      </c>
      <c r="AB17" s="5">
        <v>2</v>
      </c>
      <c r="AC17" s="5">
        <v>5</v>
      </c>
      <c r="AD17" s="5">
        <v>2</v>
      </c>
      <c r="AE17" s="5">
        <v>2</v>
      </c>
      <c r="AF17" s="5">
        <v>19</v>
      </c>
      <c r="AQ17" s="5">
        <v>2</v>
      </c>
      <c r="AR17" s="5">
        <v>2</v>
      </c>
      <c r="AS17" s="5">
        <v>4</v>
      </c>
      <c r="AZ17" s="5">
        <v>2</v>
      </c>
      <c r="BB17" s="5">
        <v>3</v>
      </c>
      <c r="BD17" s="5">
        <v>1</v>
      </c>
      <c r="BE17" s="5">
        <v>1</v>
      </c>
      <c r="BF17" s="5">
        <v>7</v>
      </c>
      <c r="BR17" s="5">
        <v>3</v>
      </c>
      <c r="BS17" s="5">
        <v>3</v>
      </c>
      <c r="BT17" s="5">
        <v>459</v>
      </c>
    </row>
    <row r="18" spans="1:72" x14ac:dyDescent="0.2">
      <c r="A18" s="5" t="s">
        <v>58</v>
      </c>
      <c r="B18" s="5">
        <v>14</v>
      </c>
      <c r="C18" s="5">
        <v>13</v>
      </c>
      <c r="D18" s="5">
        <v>19</v>
      </c>
      <c r="E18" s="5">
        <v>11</v>
      </c>
      <c r="F18" s="5">
        <v>9</v>
      </c>
      <c r="G18" s="5">
        <v>1</v>
      </c>
      <c r="I18" s="5">
        <v>1</v>
      </c>
      <c r="J18" s="5">
        <v>1</v>
      </c>
      <c r="L18" s="5">
        <v>2</v>
      </c>
      <c r="M18" s="5">
        <v>3</v>
      </c>
      <c r="O18" s="5">
        <v>1</v>
      </c>
      <c r="P18" s="5">
        <v>2</v>
      </c>
      <c r="Q18" s="5">
        <v>2</v>
      </c>
      <c r="R18" s="5">
        <v>3</v>
      </c>
      <c r="S18" s="5">
        <v>16</v>
      </c>
      <c r="U18" s="5">
        <v>6</v>
      </c>
      <c r="V18" s="5">
        <v>1</v>
      </c>
      <c r="X18" s="5">
        <v>2</v>
      </c>
      <c r="Y18" s="5">
        <v>5</v>
      </c>
      <c r="Z18" s="5">
        <v>6</v>
      </c>
      <c r="AA18" s="5">
        <v>1</v>
      </c>
      <c r="AD18" s="5">
        <v>3</v>
      </c>
      <c r="AE18" s="5">
        <v>1</v>
      </c>
      <c r="AF18" s="5">
        <v>25</v>
      </c>
      <c r="AK18" s="5">
        <v>2</v>
      </c>
      <c r="AL18" s="5">
        <v>8</v>
      </c>
      <c r="AM18" s="5">
        <v>5</v>
      </c>
      <c r="AP18" s="5">
        <v>4</v>
      </c>
      <c r="AQ18" s="5">
        <v>2</v>
      </c>
      <c r="AR18" s="5">
        <v>1</v>
      </c>
      <c r="AS18" s="5">
        <v>22</v>
      </c>
      <c r="AV18" s="5">
        <v>2</v>
      </c>
      <c r="AX18" s="5">
        <v>1</v>
      </c>
      <c r="AY18" s="5">
        <v>7</v>
      </c>
      <c r="AZ18" s="5">
        <v>3</v>
      </c>
      <c r="BA18" s="5">
        <v>3</v>
      </c>
      <c r="BF18" s="5">
        <v>16</v>
      </c>
      <c r="BK18" s="5">
        <v>6</v>
      </c>
      <c r="BL18" s="5">
        <v>2</v>
      </c>
      <c r="BM18" s="5">
        <v>3</v>
      </c>
      <c r="BN18" s="5">
        <v>5</v>
      </c>
      <c r="BR18" s="5">
        <v>5</v>
      </c>
      <c r="BS18" s="5">
        <v>21</v>
      </c>
      <c r="BT18" s="5">
        <v>166</v>
      </c>
    </row>
    <row r="19" spans="1:72" x14ac:dyDescent="0.2">
      <c r="A19" s="5" t="s">
        <v>59</v>
      </c>
      <c r="H19" s="5">
        <v>3</v>
      </c>
      <c r="L19" s="5">
        <v>8</v>
      </c>
      <c r="Q19" s="5">
        <v>4</v>
      </c>
      <c r="S19" s="5">
        <v>15</v>
      </c>
      <c r="U19" s="5">
        <v>5</v>
      </c>
      <c r="V19" s="5">
        <v>2</v>
      </c>
      <c r="Y19" s="5">
        <v>10</v>
      </c>
      <c r="AB19" s="5">
        <v>4</v>
      </c>
      <c r="AD19" s="5">
        <v>6</v>
      </c>
      <c r="AE19" s="5">
        <v>7</v>
      </c>
      <c r="AF19" s="5">
        <v>34</v>
      </c>
      <c r="AH19" s="5">
        <v>1</v>
      </c>
      <c r="AL19" s="5">
        <v>1</v>
      </c>
      <c r="AO19" s="5">
        <v>2</v>
      </c>
      <c r="AQ19" s="5">
        <v>3</v>
      </c>
      <c r="AR19" s="5">
        <v>5</v>
      </c>
      <c r="AS19" s="5">
        <v>12</v>
      </c>
      <c r="BH19" s="5">
        <v>6</v>
      </c>
      <c r="BI19" s="5">
        <v>1</v>
      </c>
      <c r="BR19" s="5">
        <v>5</v>
      </c>
      <c r="BS19" s="5">
        <v>12</v>
      </c>
      <c r="BT19" s="5">
        <v>73</v>
      </c>
    </row>
    <row r="20" spans="1:72" x14ac:dyDescent="0.2">
      <c r="A20" s="5" t="s">
        <v>60</v>
      </c>
      <c r="B20" s="5">
        <v>65</v>
      </c>
      <c r="C20" s="5">
        <v>104</v>
      </c>
      <c r="D20" s="5">
        <v>71</v>
      </c>
      <c r="E20" s="5">
        <v>35</v>
      </c>
      <c r="F20" s="5">
        <v>26</v>
      </c>
      <c r="J20" s="5">
        <v>3</v>
      </c>
      <c r="K20" s="5">
        <v>1</v>
      </c>
      <c r="M20" s="5">
        <v>1</v>
      </c>
      <c r="R20" s="5">
        <v>5</v>
      </c>
      <c r="S20" s="5">
        <v>10</v>
      </c>
      <c r="V20" s="5">
        <v>3</v>
      </c>
      <c r="W20" s="5">
        <v>2</v>
      </c>
      <c r="X20" s="5">
        <v>1</v>
      </c>
      <c r="Y20" s="5">
        <v>2</v>
      </c>
      <c r="AE20" s="5">
        <v>2</v>
      </c>
      <c r="AF20" s="5">
        <v>10</v>
      </c>
      <c r="AI20" s="5">
        <v>1</v>
      </c>
      <c r="AJ20" s="5">
        <v>3</v>
      </c>
      <c r="AK20" s="5">
        <v>1</v>
      </c>
      <c r="AS20" s="5">
        <v>5</v>
      </c>
      <c r="AW20" s="5">
        <v>1</v>
      </c>
      <c r="BE20" s="5">
        <v>1</v>
      </c>
      <c r="BF20" s="5">
        <v>2</v>
      </c>
      <c r="BJ20" s="5">
        <v>9</v>
      </c>
      <c r="BS20" s="5">
        <v>9</v>
      </c>
      <c r="BT20" s="5">
        <v>337</v>
      </c>
    </row>
    <row r="21" spans="1:72" x14ac:dyDescent="0.2">
      <c r="A21" s="5" t="s">
        <v>61</v>
      </c>
      <c r="C21" s="5">
        <v>10</v>
      </c>
      <c r="D21" s="5">
        <v>64</v>
      </c>
      <c r="E21" s="5">
        <v>102</v>
      </c>
      <c r="F21" s="5">
        <v>110</v>
      </c>
      <c r="G21" s="5">
        <v>7</v>
      </c>
      <c r="H21" s="5">
        <v>12</v>
      </c>
      <c r="I21" s="5">
        <v>23</v>
      </c>
      <c r="J21" s="5">
        <v>11</v>
      </c>
      <c r="K21" s="5">
        <v>7</v>
      </c>
      <c r="L21" s="5">
        <v>15</v>
      </c>
      <c r="M21" s="5">
        <v>7</v>
      </c>
      <c r="N21" s="5">
        <v>1</v>
      </c>
      <c r="O21" s="5">
        <v>1</v>
      </c>
      <c r="P21" s="5">
        <v>17</v>
      </c>
      <c r="R21" s="5">
        <v>19</v>
      </c>
      <c r="S21" s="5">
        <v>120</v>
      </c>
      <c r="T21" s="5">
        <v>4</v>
      </c>
      <c r="U21" s="5">
        <v>4</v>
      </c>
      <c r="V21" s="5">
        <v>20</v>
      </c>
      <c r="W21" s="5">
        <v>10</v>
      </c>
      <c r="X21" s="5">
        <v>8</v>
      </c>
      <c r="Y21" s="5">
        <v>18</v>
      </c>
      <c r="Z21" s="5">
        <v>7</v>
      </c>
      <c r="AA21" s="5">
        <v>2</v>
      </c>
      <c r="AB21" s="5">
        <v>9</v>
      </c>
      <c r="AC21" s="5">
        <v>17</v>
      </c>
      <c r="AD21" s="5">
        <v>4</v>
      </c>
      <c r="AE21" s="5">
        <v>11</v>
      </c>
      <c r="AF21" s="5">
        <v>114</v>
      </c>
      <c r="AG21" s="5">
        <v>2</v>
      </c>
      <c r="AI21" s="5">
        <v>8</v>
      </c>
      <c r="AK21" s="5">
        <v>7</v>
      </c>
      <c r="AL21" s="5">
        <v>3</v>
      </c>
      <c r="AM21" s="5">
        <v>2</v>
      </c>
      <c r="AO21" s="5">
        <v>8</v>
      </c>
      <c r="AP21" s="5">
        <v>2</v>
      </c>
      <c r="AQ21" s="5">
        <v>1</v>
      </c>
      <c r="AR21" s="5">
        <v>3</v>
      </c>
      <c r="AS21" s="5">
        <v>36</v>
      </c>
      <c r="AV21" s="5">
        <v>1</v>
      </c>
      <c r="AZ21" s="5">
        <v>1</v>
      </c>
      <c r="BA21" s="5">
        <v>1</v>
      </c>
      <c r="BB21" s="5">
        <v>8</v>
      </c>
      <c r="BE21" s="5">
        <v>1</v>
      </c>
      <c r="BF21" s="5">
        <v>12</v>
      </c>
      <c r="BI21" s="5">
        <v>1</v>
      </c>
      <c r="BK21" s="5">
        <v>3</v>
      </c>
      <c r="BL21" s="5">
        <v>1</v>
      </c>
      <c r="BN21" s="5">
        <v>1</v>
      </c>
      <c r="BO21" s="5">
        <v>1</v>
      </c>
      <c r="BP21" s="5">
        <v>3</v>
      </c>
      <c r="BS21" s="5">
        <v>10</v>
      </c>
      <c r="BT21" s="5">
        <v>578</v>
      </c>
    </row>
    <row r="22" spans="1:72" x14ac:dyDescent="0.2">
      <c r="A22" s="5" t="s">
        <v>62</v>
      </c>
      <c r="B22" s="5">
        <v>5</v>
      </c>
      <c r="C22" s="5">
        <v>1</v>
      </c>
      <c r="D22" s="5">
        <v>3</v>
      </c>
      <c r="H22" s="5">
        <v>1</v>
      </c>
      <c r="S22" s="5">
        <v>1</v>
      </c>
      <c r="W22" s="5">
        <v>1</v>
      </c>
      <c r="AF22" s="5">
        <v>1</v>
      </c>
      <c r="BI22" s="5">
        <v>1</v>
      </c>
      <c r="BS22" s="5">
        <v>1</v>
      </c>
      <c r="BT22" s="5">
        <v>12</v>
      </c>
    </row>
    <row r="23" spans="1:72" x14ac:dyDescent="0.2">
      <c r="A23" s="5" t="s">
        <v>63</v>
      </c>
      <c r="B23" s="5">
        <v>1</v>
      </c>
      <c r="C23" s="5">
        <v>2</v>
      </c>
      <c r="AV23" s="5">
        <v>2</v>
      </c>
      <c r="BF23" s="5">
        <v>2</v>
      </c>
      <c r="BT23" s="5">
        <v>5</v>
      </c>
    </row>
    <row r="24" spans="1:72" x14ac:dyDescent="0.2">
      <c r="A24" s="5" t="s">
        <v>64</v>
      </c>
      <c r="D24" s="5">
        <v>1</v>
      </c>
      <c r="BT24" s="5">
        <v>1</v>
      </c>
    </row>
    <row r="25" spans="1:72" x14ac:dyDescent="0.2">
      <c r="A25" s="5" t="s">
        <v>33</v>
      </c>
      <c r="B25" s="5">
        <v>648</v>
      </c>
      <c r="C25" s="5">
        <v>723</v>
      </c>
      <c r="D25" s="5">
        <v>762</v>
      </c>
      <c r="E25" s="5">
        <v>748</v>
      </c>
      <c r="F25" s="5">
        <v>763</v>
      </c>
      <c r="G25" s="5">
        <v>38</v>
      </c>
      <c r="H25" s="5">
        <v>63</v>
      </c>
      <c r="I25" s="5">
        <v>81</v>
      </c>
      <c r="J25" s="5">
        <v>27</v>
      </c>
      <c r="K25" s="5">
        <v>46</v>
      </c>
      <c r="L25" s="5">
        <v>108</v>
      </c>
      <c r="M25" s="5">
        <v>89</v>
      </c>
      <c r="N25" s="5">
        <v>22</v>
      </c>
      <c r="O25" s="5">
        <v>49</v>
      </c>
      <c r="P25" s="5">
        <v>61</v>
      </c>
      <c r="Q25" s="5">
        <v>42</v>
      </c>
      <c r="R25" s="5">
        <v>180</v>
      </c>
      <c r="S25" s="5">
        <v>806</v>
      </c>
      <c r="T25" s="5">
        <v>15</v>
      </c>
      <c r="U25" s="5">
        <v>29</v>
      </c>
      <c r="V25" s="5">
        <v>52</v>
      </c>
      <c r="W25" s="5">
        <v>15</v>
      </c>
      <c r="X25" s="5">
        <v>20</v>
      </c>
      <c r="Y25" s="5">
        <v>42</v>
      </c>
      <c r="Z25" s="5">
        <v>51</v>
      </c>
      <c r="AA25" s="5">
        <v>12</v>
      </c>
      <c r="AB25" s="5">
        <v>33</v>
      </c>
      <c r="AC25" s="5">
        <v>29</v>
      </c>
      <c r="AD25" s="5">
        <v>21</v>
      </c>
      <c r="AE25" s="5">
        <v>61</v>
      </c>
      <c r="AF25" s="5">
        <v>380</v>
      </c>
      <c r="AG25" s="5">
        <v>13</v>
      </c>
      <c r="AH25" s="5">
        <v>17</v>
      </c>
      <c r="AI25" s="5">
        <v>12</v>
      </c>
      <c r="AJ25" s="5">
        <v>3</v>
      </c>
      <c r="AK25" s="5">
        <v>15</v>
      </c>
      <c r="AL25" s="5">
        <v>24</v>
      </c>
      <c r="AM25" s="5">
        <v>21</v>
      </c>
      <c r="AN25" s="5">
        <v>4</v>
      </c>
      <c r="AO25" s="5">
        <v>16</v>
      </c>
      <c r="AP25" s="5">
        <v>7</v>
      </c>
      <c r="AQ25" s="5">
        <v>11</v>
      </c>
      <c r="AR25" s="5">
        <v>14</v>
      </c>
      <c r="AS25" s="5">
        <v>157</v>
      </c>
      <c r="AT25" s="5">
        <v>14</v>
      </c>
      <c r="AU25" s="5">
        <v>32</v>
      </c>
      <c r="AV25" s="5">
        <v>39</v>
      </c>
      <c r="AW25" s="5">
        <v>8</v>
      </c>
      <c r="AX25" s="5">
        <v>27</v>
      </c>
      <c r="AY25" s="5">
        <v>27</v>
      </c>
      <c r="AZ25" s="5">
        <v>50</v>
      </c>
      <c r="BA25" s="5">
        <v>10</v>
      </c>
      <c r="BB25" s="5">
        <v>23</v>
      </c>
      <c r="BC25" s="5">
        <v>6</v>
      </c>
      <c r="BD25" s="5">
        <v>49</v>
      </c>
      <c r="BE25" s="5">
        <v>55</v>
      </c>
      <c r="BF25" s="5">
        <v>340</v>
      </c>
      <c r="BG25" s="5">
        <v>9</v>
      </c>
      <c r="BH25" s="5">
        <v>40</v>
      </c>
      <c r="BI25" s="5">
        <v>85</v>
      </c>
      <c r="BJ25" s="5">
        <v>47</v>
      </c>
      <c r="BK25" s="5">
        <v>45</v>
      </c>
      <c r="BL25" s="5">
        <v>25</v>
      </c>
      <c r="BM25" s="5">
        <v>45</v>
      </c>
      <c r="BN25" s="5">
        <v>32</v>
      </c>
      <c r="BO25" s="5">
        <v>28</v>
      </c>
      <c r="BP25" s="5">
        <v>21</v>
      </c>
      <c r="BQ25" s="5">
        <v>44</v>
      </c>
      <c r="BR25" s="5">
        <v>59</v>
      </c>
      <c r="BS25" s="5">
        <v>480</v>
      </c>
      <c r="BT25" s="5">
        <v>5807</v>
      </c>
    </row>
    <row r="29" spans="1:72" x14ac:dyDescent="0.2">
      <c r="A29" s="6" t="s">
        <v>14</v>
      </c>
      <c r="B29" s="5">
        <f>SUM(B5:B9)</f>
        <v>434</v>
      </c>
      <c r="C29" s="5">
        <f t="shared" ref="C29:BN29" si="0">SUM(C5:C9)</f>
        <v>482</v>
      </c>
      <c r="D29" s="5">
        <f t="shared" si="0"/>
        <v>491</v>
      </c>
      <c r="E29" s="5">
        <f t="shared" si="0"/>
        <v>490</v>
      </c>
      <c r="F29" s="5">
        <f t="shared" si="0"/>
        <v>455</v>
      </c>
      <c r="G29" s="5">
        <f t="shared" si="0"/>
        <v>14</v>
      </c>
      <c r="H29" s="5">
        <f t="shared" si="0"/>
        <v>22</v>
      </c>
      <c r="I29" s="5">
        <f t="shared" si="0"/>
        <v>30</v>
      </c>
      <c r="J29" s="5">
        <f t="shared" si="0"/>
        <v>6</v>
      </c>
      <c r="K29" s="5">
        <f t="shared" si="0"/>
        <v>20</v>
      </c>
      <c r="L29" s="5">
        <f t="shared" si="0"/>
        <v>63</v>
      </c>
      <c r="M29" s="5">
        <f t="shared" si="0"/>
        <v>33</v>
      </c>
      <c r="N29" s="5">
        <f t="shared" si="0"/>
        <v>16</v>
      </c>
      <c r="O29" s="5">
        <f t="shared" si="0"/>
        <v>18</v>
      </c>
      <c r="P29" s="5">
        <f t="shared" si="0"/>
        <v>16</v>
      </c>
      <c r="Q29" s="5">
        <f t="shared" si="0"/>
        <v>14</v>
      </c>
      <c r="R29" s="5">
        <f t="shared" si="0"/>
        <v>71</v>
      </c>
      <c r="S29" s="5">
        <f t="shared" si="0"/>
        <v>323</v>
      </c>
      <c r="T29" s="5">
        <f t="shared" si="0"/>
        <v>4</v>
      </c>
      <c r="U29" s="5">
        <f t="shared" si="0"/>
        <v>6</v>
      </c>
      <c r="V29" s="5">
        <f t="shared" si="0"/>
        <v>18</v>
      </c>
      <c r="W29" s="5">
        <f t="shared" si="0"/>
        <v>0</v>
      </c>
      <c r="X29" s="5">
        <f t="shared" si="0"/>
        <v>1</v>
      </c>
      <c r="Y29" s="5">
        <f t="shared" si="0"/>
        <v>0</v>
      </c>
      <c r="Z29" s="5">
        <f t="shared" si="0"/>
        <v>11</v>
      </c>
      <c r="AA29" s="5">
        <f t="shared" si="0"/>
        <v>4</v>
      </c>
      <c r="AB29" s="5">
        <f t="shared" si="0"/>
        <v>2</v>
      </c>
      <c r="AC29" s="5">
        <f t="shared" si="0"/>
        <v>0</v>
      </c>
      <c r="AD29" s="5">
        <f t="shared" si="0"/>
        <v>3</v>
      </c>
      <c r="AE29" s="5">
        <f t="shared" si="0"/>
        <v>20</v>
      </c>
      <c r="AF29" s="5">
        <f t="shared" si="0"/>
        <v>69</v>
      </c>
      <c r="AG29" s="5">
        <f t="shared" si="0"/>
        <v>10</v>
      </c>
      <c r="AH29" s="5">
        <f t="shared" si="0"/>
        <v>0</v>
      </c>
      <c r="AI29" s="5">
        <f t="shared" si="0"/>
        <v>1</v>
      </c>
      <c r="AJ29" s="5">
        <f t="shared" si="0"/>
        <v>0</v>
      </c>
      <c r="AK29" s="5">
        <f t="shared" si="0"/>
        <v>3</v>
      </c>
      <c r="AL29" s="5">
        <f t="shared" si="0"/>
        <v>0</v>
      </c>
      <c r="AM29" s="5">
        <f t="shared" si="0"/>
        <v>2</v>
      </c>
      <c r="AN29" s="5">
        <f t="shared" si="0"/>
        <v>0</v>
      </c>
      <c r="AO29" s="5">
        <f t="shared" si="0"/>
        <v>0</v>
      </c>
      <c r="AP29" s="5">
        <f t="shared" si="0"/>
        <v>0</v>
      </c>
      <c r="AQ29" s="5">
        <f t="shared" si="0"/>
        <v>0</v>
      </c>
      <c r="AR29" s="5">
        <f t="shared" si="0"/>
        <v>0</v>
      </c>
      <c r="AS29" s="5">
        <f t="shared" si="0"/>
        <v>16</v>
      </c>
      <c r="AT29" s="5">
        <f t="shared" si="0"/>
        <v>14</v>
      </c>
      <c r="AU29" s="5">
        <f t="shared" si="0"/>
        <v>0</v>
      </c>
      <c r="AV29" s="5">
        <f t="shared" si="0"/>
        <v>2</v>
      </c>
      <c r="AW29" s="5">
        <f t="shared" si="0"/>
        <v>0</v>
      </c>
      <c r="AX29" s="5">
        <f t="shared" si="0"/>
        <v>0</v>
      </c>
      <c r="AY29" s="5">
        <f t="shared" si="0"/>
        <v>0</v>
      </c>
      <c r="AZ29" s="5">
        <f t="shared" si="0"/>
        <v>0</v>
      </c>
      <c r="BA29" s="5">
        <f t="shared" si="0"/>
        <v>0</v>
      </c>
      <c r="BB29" s="5">
        <f t="shared" si="0"/>
        <v>0</v>
      </c>
      <c r="BC29" s="5">
        <f t="shared" si="0"/>
        <v>0</v>
      </c>
      <c r="BD29" s="5">
        <f t="shared" si="0"/>
        <v>0</v>
      </c>
      <c r="BE29" s="5">
        <f t="shared" si="0"/>
        <v>0</v>
      </c>
      <c r="BF29" s="5">
        <f t="shared" si="0"/>
        <v>16</v>
      </c>
      <c r="BG29" s="5">
        <f t="shared" si="0"/>
        <v>1</v>
      </c>
      <c r="BH29" s="5">
        <f t="shared" si="0"/>
        <v>0</v>
      </c>
      <c r="BI29" s="5">
        <f t="shared" si="0"/>
        <v>11</v>
      </c>
      <c r="BJ29" s="5">
        <f t="shared" si="0"/>
        <v>0</v>
      </c>
      <c r="BK29" s="5">
        <f t="shared" si="0"/>
        <v>0</v>
      </c>
      <c r="BL29" s="5">
        <f t="shared" si="0"/>
        <v>0</v>
      </c>
      <c r="BM29" s="5">
        <f t="shared" si="0"/>
        <v>0</v>
      </c>
      <c r="BN29" s="5">
        <f t="shared" si="0"/>
        <v>0</v>
      </c>
      <c r="BO29" s="5">
        <f t="shared" ref="BO29:BS29" si="1">SUM(BO5:BO9)</f>
        <v>0</v>
      </c>
      <c r="BP29" s="5">
        <f t="shared" si="1"/>
        <v>0</v>
      </c>
      <c r="BQ29" s="5">
        <f t="shared" si="1"/>
        <v>0</v>
      </c>
      <c r="BR29" s="5">
        <f t="shared" si="1"/>
        <v>0</v>
      </c>
      <c r="BS29" s="5">
        <f t="shared" si="1"/>
        <v>12</v>
      </c>
    </row>
    <row r="31" spans="1:72" x14ac:dyDescent="0.2">
      <c r="A31" s="5" t="s">
        <v>15</v>
      </c>
      <c r="B31" s="5">
        <f>B4</f>
        <v>0</v>
      </c>
      <c r="C31" s="5">
        <f t="shared" ref="C31:BN31" si="2">C4</f>
        <v>0</v>
      </c>
      <c r="D31" s="5">
        <f t="shared" si="2"/>
        <v>0</v>
      </c>
      <c r="E31" s="5">
        <f t="shared" si="2"/>
        <v>0</v>
      </c>
      <c r="F31" s="5">
        <f t="shared" si="2"/>
        <v>74</v>
      </c>
      <c r="G31" s="5">
        <f t="shared" si="2"/>
        <v>9</v>
      </c>
      <c r="H31" s="5">
        <f t="shared" si="2"/>
        <v>25</v>
      </c>
      <c r="I31" s="5">
        <f t="shared" si="2"/>
        <v>26</v>
      </c>
      <c r="J31" s="5">
        <f t="shared" si="2"/>
        <v>5</v>
      </c>
      <c r="K31" s="5">
        <f t="shared" si="2"/>
        <v>18</v>
      </c>
      <c r="L31" s="5">
        <f t="shared" si="2"/>
        <v>14</v>
      </c>
      <c r="M31" s="5">
        <f t="shared" si="2"/>
        <v>34</v>
      </c>
      <c r="N31" s="5">
        <f t="shared" si="2"/>
        <v>1</v>
      </c>
      <c r="O31" s="5">
        <f t="shared" si="2"/>
        <v>26</v>
      </c>
      <c r="P31" s="5">
        <f t="shared" si="2"/>
        <v>7</v>
      </c>
      <c r="Q31" s="5">
        <f t="shared" si="2"/>
        <v>16</v>
      </c>
      <c r="R31" s="5">
        <f t="shared" si="2"/>
        <v>75</v>
      </c>
      <c r="S31" s="5">
        <f t="shared" si="2"/>
        <v>256</v>
      </c>
      <c r="T31" s="5">
        <f t="shared" si="2"/>
        <v>0</v>
      </c>
      <c r="U31" s="5">
        <f t="shared" si="2"/>
        <v>4</v>
      </c>
      <c r="V31" s="5">
        <f t="shared" si="2"/>
        <v>7</v>
      </c>
      <c r="W31" s="5">
        <f t="shared" si="2"/>
        <v>2</v>
      </c>
      <c r="X31" s="5">
        <f t="shared" si="2"/>
        <v>6</v>
      </c>
      <c r="Y31" s="5">
        <f t="shared" si="2"/>
        <v>2</v>
      </c>
      <c r="Z31" s="5">
        <f t="shared" si="2"/>
        <v>10</v>
      </c>
      <c r="AA31" s="5">
        <f t="shared" si="2"/>
        <v>0</v>
      </c>
      <c r="AB31" s="5">
        <f t="shared" si="2"/>
        <v>5</v>
      </c>
      <c r="AC31" s="5">
        <f t="shared" si="2"/>
        <v>1</v>
      </c>
      <c r="AD31" s="5">
        <f t="shared" si="2"/>
        <v>2</v>
      </c>
      <c r="AE31" s="5">
        <f t="shared" si="2"/>
        <v>18</v>
      </c>
      <c r="AF31" s="5">
        <f t="shared" si="2"/>
        <v>57</v>
      </c>
      <c r="AG31" s="5">
        <f t="shared" si="2"/>
        <v>0</v>
      </c>
      <c r="AH31" s="5">
        <f t="shared" si="2"/>
        <v>10</v>
      </c>
      <c r="AI31" s="5">
        <f t="shared" si="2"/>
        <v>0</v>
      </c>
      <c r="AJ31" s="5">
        <f t="shared" si="2"/>
        <v>0</v>
      </c>
      <c r="AK31" s="5">
        <f t="shared" si="2"/>
        <v>1</v>
      </c>
      <c r="AL31" s="5">
        <f t="shared" si="2"/>
        <v>4</v>
      </c>
      <c r="AM31" s="5">
        <f t="shared" si="2"/>
        <v>5</v>
      </c>
      <c r="AN31" s="5">
        <f t="shared" si="2"/>
        <v>0</v>
      </c>
      <c r="AO31" s="5">
        <f t="shared" si="2"/>
        <v>0</v>
      </c>
      <c r="AP31" s="5">
        <f t="shared" si="2"/>
        <v>1</v>
      </c>
      <c r="AQ31" s="5">
        <f t="shared" si="2"/>
        <v>3</v>
      </c>
      <c r="AR31" s="5">
        <f t="shared" si="2"/>
        <v>3</v>
      </c>
      <c r="AS31" s="5">
        <f t="shared" si="2"/>
        <v>27</v>
      </c>
      <c r="AT31" s="5">
        <f t="shared" si="2"/>
        <v>0</v>
      </c>
      <c r="AU31" s="5">
        <f t="shared" si="2"/>
        <v>22</v>
      </c>
      <c r="AV31" s="5">
        <f t="shared" si="2"/>
        <v>32</v>
      </c>
      <c r="AW31" s="5">
        <f t="shared" si="2"/>
        <v>7</v>
      </c>
      <c r="AX31" s="5">
        <f t="shared" si="2"/>
        <v>26</v>
      </c>
      <c r="AY31" s="5">
        <f t="shared" si="2"/>
        <v>13</v>
      </c>
      <c r="AZ31" s="5">
        <f t="shared" si="2"/>
        <v>35</v>
      </c>
      <c r="BA31" s="5">
        <f t="shared" si="2"/>
        <v>3</v>
      </c>
      <c r="BB31" s="5">
        <f t="shared" si="2"/>
        <v>3</v>
      </c>
      <c r="BC31" s="5">
        <f t="shared" si="2"/>
        <v>6</v>
      </c>
      <c r="BD31" s="5">
        <f t="shared" si="2"/>
        <v>47</v>
      </c>
      <c r="BE31" s="5">
        <f t="shared" si="2"/>
        <v>51</v>
      </c>
      <c r="BF31" s="5">
        <f t="shared" si="2"/>
        <v>245</v>
      </c>
      <c r="BG31" s="5">
        <f t="shared" si="2"/>
        <v>5</v>
      </c>
      <c r="BH31" s="5">
        <f t="shared" si="2"/>
        <v>24</v>
      </c>
      <c r="BI31" s="5">
        <f t="shared" si="2"/>
        <v>70</v>
      </c>
      <c r="BJ31" s="5">
        <f t="shared" si="2"/>
        <v>38</v>
      </c>
      <c r="BK31" s="5">
        <f t="shared" si="2"/>
        <v>31</v>
      </c>
      <c r="BL31" s="5">
        <f t="shared" si="2"/>
        <v>19</v>
      </c>
      <c r="BM31" s="5">
        <f t="shared" si="2"/>
        <v>35</v>
      </c>
      <c r="BN31" s="5">
        <f t="shared" si="2"/>
        <v>25</v>
      </c>
      <c r="BO31" s="5">
        <f t="shared" ref="BO31:BS31" si="3">BO4</f>
        <v>19</v>
      </c>
      <c r="BP31" s="5">
        <f t="shared" si="3"/>
        <v>18</v>
      </c>
      <c r="BQ31" s="5">
        <f t="shared" si="3"/>
        <v>44</v>
      </c>
      <c r="BR31" s="5">
        <f t="shared" si="3"/>
        <v>46</v>
      </c>
      <c r="BS31" s="5">
        <f t="shared" si="3"/>
        <v>374</v>
      </c>
    </row>
    <row r="33" spans="1:71" x14ac:dyDescent="0.2">
      <c r="A33" s="6" t="s">
        <v>16</v>
      </c>
      <c r="B33" s="5">
        <f>SUM(B12:B14)</f>
        <v>21</v>
      </c>
      <c r="C33" s="5">
        <f t="shared" ref="C33:BN33" si="4">SUM(C12:C14)</f>
        <v>6</v>
      </c>
      <c r="D33" s="5">
        <f t="shared" si="4"/>
        <v>16</v>
      </c>
      <c r="E33" s="5">
        <f t="shared" si="4"/>
        <v>13</v>
      </c>
      <c r="F33" s="5">
        <f t="shared" si="4"/>
        <v>10</v>
      </c>
      <c r="G33" s="5">
        <f t="shared" si="4"/>
        <v>7</v>
      </c>
      <c r="H33" s="5">
        <f t="shared" si="4"/>
        <v>0</v>
      </c>
      <c r="I33" s="5">
        <f t="shared" si="4"/>
        <v>1</v>
      </c>
      <c r="J33" s="5">
        <f t="shared" si="4"/>
        <v>0</v>
      </c>
      <c r="K33" s="5">
        <f t="shared" si="4"/>
        <v>0</v>
      </c>
      <c r="L33" s="5">
        <f t="shared" si="4"/>
        <v>2</v>
      </c>
      <c r="M33" s="5">
        <f t="shared" si="4"/>
        <v>7</v>
      </c>
      <c r="N33" s="5">
        <f t="shared" si="4"/>
        <v>4</v>
      </c>
      <c r="O33" s="5">
        <f t="shared" si="4"/>
        <v>2</v>
      </c>
      <c r="P33" s="5">
        <f t="shared" si="4"/>
        <v>0</v>
      </c>
      <c r="Q33" s="5">
        <f t="shared" si="4"/>
        <v>0</v>
      </c>
      <c r="R33" s="5">
        <f t="shared" si="4"/>
        <v>4</v>
      </c>
      <c r="S33" s="5">
        <f t="shared" si="4"/>
        <v>27</v>
      </c>
      <c r="T33" s="5">
        <f t="shared" si="4"/>
        <v>7</v>
      </c>
      <c r="U33" s="5">
        <f t="shared" si="4"/>
        <v>3</v>
      </c>
      <c r="V33" s="5">
        <f t="shared" si="4"/>
        <v>1</v>
      </c>
      <c r="W33" s="5">
        <f t="shared" si="4"/>
        <v>0</v>
      </c>
      <c r="X33" s="5">
        <f t="shared" si="4"/>
        <v>0</v>
      </c>
      <c r="Y33" s="5">
        <f t="shared" si="4"/>
        <v>5</v>
      </c>
      <c r="Z33" s="5">
        <f t="shared" si="4"/>
        <v>11</v>
      </c>
      <c r="AA33" s="5">
        <f t="shared" si="4"/>
        <v>5</v>
      </c>
      <c r="AB33" s="5">
        <f t="shared" si="4"/>
        <v>11</v>
      </c>
      <c r="AC33" s="5">
        <f t="shared" si="4"/>
        <v>0</v>
      </c>
      <c r="AD33" s="5">
        <f t="shared" si="4"/>
        <v>0</v>
      </c>
      <c r="AE33" s="5">
        <f t="shared" si="4"/>
        <v>0</v>
      </c>
      <c r="AF33" s="5">
        <f t="shared" si="4"/>
        <v>43</v>
      </c>
      <c r="AG33" s="5">
        <f t="shared" si="4"/>
        <v>1</v>
      </c>
      <c r="AH33" s="5">
        <f t="shared" si="4"/>
        <v>2</v>
      </c>
      <c r="AI33" s="5">
        <f t="shared" si="4"/>
        <v>2</v>
      </c>
      <c r="AJ33" s="5">
        <f t="shared" si="4"/>
        <v>0</v>
      </c>
      <c r="AK33" s="5">
        <f t="shared" si="4"/>
        <v>0</v>
      </c>
      <c r="AL33" s="5">
        <f t="shared" si="4"/>
        <v>8</v>
      </c>
      <c r="AM33" s="5">
        <f t="shared" si="4"/>
        <v>7</v>
      </c>
      <c r="AN33" s="5">
        <f t="shared" si="4"/>
        <v>4</v>
      </c>
      <c r="AO33" s="5">
        <f t="shared" si="4"/>
        <v>6</v>
      </c>
      <c r="AP33" s="5">
        <f t="shared" si="4"/>
        <v>0</v>
      </c>
      <c r="AQ33" s="5">
        <f t="shared" si="4"/>
        <v>0</v>
      </c>
      <c r="AR33" s="5">
        <f t="shared" si="4"/>
        <v>0</v>
      </c>
      <c r="AS33" s="5">
        <f t="shared" si="4"/>
        <v>30</v>
      </c>
      <c r="AT33" s="5">
        <f t="shared" si="4"/>
        <v>0</v>
      </c>
      <c r="AU33" s="5">
        <f t="shared" si="4"/>
        <v>3</v>
      </c>
      <c r="AV33" s="5">
        <f t="shared" si="4"/>
        <v>0</v>
      </c>
      <c r="AW33" s="5">
        <f t="shared" si="4"/>
        <v>0</v>
      </c>
      <c r="AX33" s="5">
        <f t="shared" si="4"/>
        <v>0</v>
      </c>
      <c r="AY33" s="5">
        <f t="shared" si="4"/>
        <v>7</v>
      </c>
      <c r="AZ33" s="5">
        <f t="shared" si="4"/>
        <v>9</v>
      </c>
      <c r="BA33" s="5">
        <f t="shared" si="4"/>
        <v>2</v>
      </c>
      <c r="BB33" s="5">
        <f t="shared" si="4"/>
        <v>9</v>
      </c>
      <c r="BC33" s="5">
        <f t="shared" si="4"/>
        <v>0</v>
      </c>
      <c r="BD33" s="5">
        <f t="shared" si="4"/>
        <v>1</v>
      </c>
      <c r="BE33" s="5">
        <f t="shared" si="4"/>
        <v>1</v>
      </c>
      <c r="BF33" s="5">
        <f t="shared" si="4"/>
        <v>32</v>
      </c>
      <c r="BG33" s="5">
        <f t="shared" si="4"/>
        <v>0</v>
      </c>
      <c r="BH33" s="5">
        <f t="shared" si="4"/>
        <v>8</v>
      </c>
      <c r="BI33" s="5">
        <f t="shared" si="4"/>
        <v>1</v>
      </c>
      <c r="BJ33" s="5">
        <f t="shared" si="4"/>
        <v>0</v>
      </c>
      <c r="BK33" s="5">
        <f t="shared" si="4"/>
        <v>5</v>
      </c>
      <c r="BL33" s="5">
        <f t="shared" si="4"/>
        <v>3</v>
      </c>
      <c r="BM33" s="5">
        <f t="shared" si="4"/>
        <v>7</v>
      </c>
      <c r="BN33" s="5">
        <f t="shared" si="4"/>
        <v>1</v>
      </c>
      <c r="BO33" s="5">
        <f t="shared" ref="BO33:BS33" si="5">SUM(BO12:BO14)</f>
        <v>8</v>
      </c>
      <c r="BP33" s="5">
        <f t="shared" si="5"/>
        <v>0</v>
      </c>
      <c r="BQ33" s="5">
        <f t="shared" si="5"/>
        <v>0</v>
      </c>
      <c r="BR33" s="5">
        <f t="shared" si="5"/>
        <v>0</v>
      </c>
      <c r="BS33" s="5">
        <f t="shared" si="5"/>
        <v>33</v>
      </c>
    </row>
    <row r="35" spans="1:71" x14ac:dyDescent="0.2">
      <c r="A35" s="6" t="s">
        <v>17</v>
      </c>
      <c r="B35" s="5">
        <f>SUM(B10:B11)</f>
        <v>24</v>
      </c>
      <c r="C35" s="5">
        <f t="shared" ref="C35:BN35" si="6">SUM(C10:C11)</f>
        <v>19</v>
      </c>
      <c r="D35" s="5">
        <f t="shared" si="6"/>
        <v>18</v>
      </c>
      <c r="E35" s="5">
        <f t="shared" si="6"/>
        <v>9</v>
      </c>
      <c r="F35" s="5">
        <f t="shared" si="6"/>
        <v>14</v>
      </c>
      <c r="G35" s="5">
        <f t="shared" si="6"/>
        <v>0</v>
      </c>
      <c r="H35" s="5">
        <f t="shared" si="6"/>
        <v>0</v>
      </c>
      <c r="I35" s="5">
        <f t="shared" si="6"/>
        <v>0</v>
      </c>
      <c r="J35" s="5">
        <f t="shared" si="6"/>
        <v>0</v>
      </c>
      <c r="K35" s="5">
        <f t="shared" si="6"/>
        <v>0</v>
      </c>
      <c r="L35" s="5">
        <f t="shared" si="6"/>
        <v>0</v>
      </c>
      <c r="M35" s="5">
        <f t="shared" si="6"/>
        <v>0</v>
      </c>
      <c r="N35" s="5">
        <f t="shared" si="6"/>
        <v>0</v>
      </c>
      <c r="O35" s="5">
        <f t="shared" si="6"/>
        <v>0</v>
      </c>
      <c r="P35" s="5">
        <f t="shared" si="6"/>
        <v>6</v>
      </c>
      <c r="Q35" s="5">
        <f t="shared" si="6"/>
        <v>0</v>
      </c>
      <c r="R35" s="5">
        <f t="shared" si="6"/>
        <v>0</v>
      </c>
      <c r="S35" s="5">
        <f t="shared" si="6"/>
        <v>6</v>
      </c>
      <c r="T35" s="5">
        <f t="shared" si="6"/>
        <v>0</v>
      </c>
      <c r="U35" s="5">
        <f t="shared" si="6"/>
        <v>1</v>
      </c>
      <c r="V35" s="5">
        <f t="shared" si="6"/>
        <v>0</v>
      </c>
      <c r="W35" s="5">
        <f t="shared" si="6"/>
        <v>0</v>
      </c>
      <c r="X35" s="5">
        <f t="shared" si="6"/>
        <v>0</v>
      </c>
      <c r="Y35" s="5">
        <f t="shared" si="6"/>
        <v>0</v>
      </c>
      <c r="Z35" s="5">
        <f t="shared" si="6"/>
        <v>0</v>
      </c>
      <c r="AA35" s="5">
        <f t="shared" si="6"/>
        <v>0</v>
      </c>
      <c r="AB35" s="5">
        <f t="shared" si="6"/>
        <v>0</v>
      </c>
      <c r="AC35" s="5">
        <f t="shared" si="6"/>
        <v>5</v>
      </c>
      <c r="AD35" s="5">
        <f t="shared" si="6"/>
        <v>1</v>
      </c>
      <c r="AE35" s="5">
        <f t="shared" si="6"/>
        <v>0</v>
      </c>
      <c r="AF35" s="5">
        <f t="shared" si="6"/>
        <v>7</v>
      </c>
      <c r="AG35" s="5">
        <f t="shared" si="6"/>
        <v>0</v>
      </c>
      <c r="AH35" s="5">
        <f t="shared" si="6"/>
        <v>4</v>
      </c>
      <c r="AI35" s="5">
        <f t="shared" si="6"/>
        <v>0</v>
      </c>
      <c r="AJ35" s="5">
        <f t="shared" si="6"/>
        <v>0</v>
      </c>
      <c r="AK35" s="5">
        <f t="shared" si="6"/>
        <v>1</v>
      </c>
      <c r="AL35" s="5">
        <f t="shared" si="6"/>
        <v>0</v>
      </c>
      <c r="AM35" s="5">
        <f t="shared" si="6"/>
        <v>0</v>
      </c>
      <c r="AN35" s="5">
        <f t="shared" si="6"/>
        <v>0</v>
      </c>
      <c r="AO35" s="5">
        <f t="shared" si="6"/>
        <v>0</v>
      </c>
      <c r="AP35" s="5">
        <f t="shared" si="6"/>
        <v>0</v>
      </c>
      <c r="AQ35" s="5">
        <f t="shared" si="6"/>
        <v>0</v>
      </c>
      <c r="AR35" s="5">
        <f t="shared" si="6"/>
        <v>0</v>
      </c>
      <c r="AS35" s="5">
        <f t="shared" si="6"/>
        <v>5</v>
      </c>
      <c r="AT35" s="5">
        <f t="shared" si="6"/>
        <v>0</v>
      </c>
      <c r="AU35" s="5">
        <f t="shared" si="6"/>
        <v>7</v>
      </c>
      <c r="AV35" s="5">
        <f t="shared" si="6"/>
        <v>0</v>
      </c>
      <c r="AW35" s="5">
        <f t="shared" si="6"/>
        <v>0</v>
      </c>
      <c r="AX35" s="5">
        <f t="shared" si="6"/>
        <v>0</v>
      </c>
      <c r="AY35" s="5">
        <f t="shared" si="6"/>
        <v>0</v>
      </c>
      <c r="AZ35" s="5">
        <f t="shared" si="6"/>
        <v>0</v>
      </c>
      <c r="BA35" s="5">
        <f t="shared" si="6"/>
        <v>0</v>
      </c>
      <c r="BB35" s="5">
        <f t="shared" si="6"/>
        <v>0</v>
      </c>
      <c r="BC35" s="5">
        <f t="shared" si="6"/>
        <v>0</v>
      </c>
      <c r="BD35" s="5">
        <f t="shared" si="6"/>
        <v>0</v>
      </c>
      <c r="BE35" s="5">
        <f t="shared" si="6"/>
        <v>0</v>
      </c>
      <c r="BF35" s="5">
        <f t="shared" si="6"/>
        <v>7</v>
      </c>
      <c r="BG35" s="5">
        <f t="shared" si="6"/>
        <v>3</v>
      </c>
      <c r="BH35" s="5">
        <f t="shared" si="6"/>
        <v>2</v>
      </c>
      <c r="BI35" s="5">
        <f t="shared" si="6"/>
        <v>0</v>
      </c>
      <c r="BJ35" s="5">
        <f t="shared" si="6"/>
        <v>0</v>
      </c>
      <c r="BK35" s="5">
        <f t="shared" si="6"/>
        <v>0</v>
      </c>
      <c r="BL35" s="5">
        <f t="shared" si="6"/>
        <v>0</v>
      </c>
      <c r="BM35" s="5">
        <f t="shared" si="6"/>
        <v>0</v>
      </c>
      <c r="BN35" s="5">
        <f t="shared" si="6"/>
        <v>0</v>
      </c>
      <c r="BO35" s="5">
        <f t="shared" ref="BO35:BS35" si="7">SUM(BO10:BO11)</f>
        <v>0</v>
      </c>
      <c r="BP35" s="5">
        <f t="shared" si="7"/>
        <v>0</v>
      </c>
      <c r="BQ35" s="5">
        <f t="shared" si="7"/>
        <v>0</v>
      </c>
      <c r="BR35" s="5">
        <f t="shared" si="7"/>
        <v>0</v>
      </c>
      <c r="BS35" s="5">
        <f t="shared" si="7"/>
        <v>5</v>
      </c>
    </row>
    <row r="37" spans="1:71" x14ac:dyDescent="0.2">
      <c r="A37" s="6" t="s">
        <v>18</v>
      </c>
      <c r="B37" s="5">
        <f>SUM(B15:B17)</f>
        <v>84</v>
      </c>
      <c r="C37" s="5">
        <f t="shared" ref="C37:BN37" si="8">SUM(C15:C17)</f>
        <v>86</v>
      </c>
      <c r="D37" s="5">
        <f t="shared" si="8"/>
        <v>79</v>
      </c>
      <c r="E37" s="5">
        <f t="shared" si="8"/>
        <v>88</v>
      </c>
      <c r="F37" s="5">
        <f t="shared" si="8"/>
        <v>65</v>
      </c>
      <c r="G37" s="5">
        <f t="shared" si="8"/>
        <v>0</v>
      </c>
      <c r="H37" s="5">
        <f t="shared" si="8"/>
        <v>0</v>
      </c>
      <c r="I37" s="5">
        <f t="shared" si="8"/>
        <v>0</v>
      </c>
      <c r="J37" s="5">
        <f t="shared" si="8"/>
        <v>1</v>
      </c>
      <c r="K37" s="5">
        <f t="shared" si="8"/>
        <v>0</v>
      </c>
      <c r="L37" s="5">
        <f t="shared" si="8"/>
        <v>4</v>
      </c>
      <c r="M37" s="5">
        <f t="shared" si="8"/>
        <v>4</v>
      </c>
      <c r="N37" s="5">
        <f t="shared" si="8"/>
        <v>0</v>
      </c>
      <c r="O37" s="5">
        <f t="shared" si="8"/>
        <v>1</v>
      </c>
      <c r="P37" s="5">
        <f t="shared" si="8"/>
        <v>13</v>
      </c>
      <c r="Q37" s="5">
        <f t="shared" si="8"/>
        <v>6</v>
      </c>
      <c r="R37" s="5">
        <f t="shared" si="8"/>
        <v>3</v>
      </c>
      <c r="S37" s="5">
        <f t="shared" si="8"/>
        <v>32</v>
      </c>
      <c r="T37" s="5">
        <f t="shared" si="8"/>
        <v>0</v>
      </c>
      <c r="U37" s="5">
        <f t="shared" si="8"/>
        <v>0</v>
      </c>
      <c r="V37" s="5">
        <f t="shared" si="8"/>
        <v>0</v>
      </c>
      <c r="W37" s="5">
        <f t="shared" si="8"/>
        <v>0</v>
      </c>
      <c r="X37" s="5">
        <f t="shared" si="8"/>
        <v>2</v>
      </c>
      <c r="Y37" s="5">
        <f t="shared" si="8"/>
        <v>0</v>
      </c>
      <c r="Z37" s="5">
        <f t="shared" si="8"/>
        <v>6</v>
      </c>
      <c r="AA37" s="5">
        <f t="shared" si="8"/>
        <v>0</v>
      </c>
      <c r="AB37" s="5">
        <f t="shared" si="8"/>
        <v>2</v>
      </c>
      <c r="AC37" s="5">
        <f t="shared" si="8"/>
        <v>6</v>
      </c>
      <c r="AD37" s="5">
        <f t="shared" si="8"/>
        <v>2</v>
      </c>
      <c r="AE37" s="5">
        <f t="shared" si="8"/>
        <v>2</v>
      </c>
      <c r="AF37" s="5">
        <f t="shared" si="8"/>
        <v>20</v>
      </c>
      <c r="AG37" s="5">
        <f t="shared" si="8"/>
        <v>0</v>
      </c>
      <c r="AH37" s="5">
        <f t="shared" si="8"/>
        <v>0</v>
      </c>
      <c r="AI37" s="5">
        <f t="shared" si="8"/>
        <v>0</v>
      </c>
      <c r="AJ37" s="5">
        <f t="shared" si="8"/>
        <v>0</v>
      </c>
      <c r="AK37" s="5">
        <f t="shared" si="8"/>
        <v>0</v>
      </c>
      <c r="AL37" s="5">
        <f t="shared" si="8"/>
        <v>0</v>
      </c>
      <c r="AM37" s="5">
        <f t="shared" si="8"/>
        <v>0</v>
      </c>
      <c r="AN37" s="5">
        <f t="shared" si="8"/>
        <v>0</v>
      </c>
      <c r="AO37" s="5">
        <f t="shared" si="8"/>
        <v>0</v>
      </c>
      <c r="AP37" s="5">
        <f t="shared" si="8"/>
        <v>0</v>
      </c>
      <c r="AQ37" s="5">
        <f t="shared" si="8"/>
        <v>2</v>
      </c>
      <c r="AR37" s="5">
        <f t="shared" si="8"/>
        <v>2</v>
      </c>
      <c r="AS37" s="5">
        <f t="shared" si="8"/>
        <v>4</v>
      </c>
      <c r="AT37" s="5">
        <f t="shared" si="8"/>
        <v>0</v>
      </c>
      <c r="AU37" s="5">
        <f t="shared" si="8"/>
        <v>0</v>
      </c>
      <c r="AV37" s="5">
        <f t="shared" si="8"/>
        <v>0</v>
      </c>
      <c r="AW37" s="5">
        <f t="shared" si="8"/>
        <v>0</v>
      </c>
      <c r="AX37" s="5">
        <f t="shared" si="8"/>
        <v>0</v>
      </c>
      <c r="AY37" s="5">
        <f t="shared" si="8"/>
        <v>0</v>
      </c>
      <c r="AZ37" s="5">
        <f t="shared" si="8"/>
        <v>2</v>
      </c>
      <c r="BA37" s="5">
        <f t="shared" si="8"/>
        <v>1</v>
      </c>
      <c r="BB37" s="5">
        <f t="shared" si="8"/>
        <v>3</v>
      </c>
      <c r="BC37" s="5">
        <f t="shared" si="8"/>
        <v>0</v>
      </c>
      <c r="BD37" s="5">
        <f t="shared" si="8"/>
        <v>1</v>
      </c>
      <c r="BE37" s="5">
        <f t="shared" si="8"/>
        <v>1</v>
      </c>
      <c r="BF37" s="5">
        <f t="shared" si="8"/>
        <v>8</v>
      </c>
      <c r="BG37" s="5">
        <f t="shared" si="8"/>
        <v>0</v>
      </c>
      <c r="BH37" s="5">
        <f t="shared" si="8"/>
        <v>0</v>
      </c>
      <c r="BI37" s="5">
        <f t="shared" si="8"/>
        <v>0</v>
      </c>
      <c r="BJ37" s="5">
        <f t="shared" si="8"/>
        <v>0</v>
      </c>
      <c r="BK37" s="5">
        <f t="shared" si="8"/>
        <v>0</v>
      </c>
      <c r="BL37" s="5">
        <f t="shared" si="8"/>
        <v>0</v>
      </c>
      <c r="BM37" s="5">
        <f t="shared" si="8"/>
        <v>0</v>
      </c>
      <c r="BN37" s="5">
        <f t="shared" si="8"/>
        <v>0</v>
      </c>
      <c r="BO37" s="5">
        <f t="shared" ref="BO37:BS37" si="9">SUM(BO15:BO17)</f>
        <v>0</v>
      </c>
      <c r="BP37" s="5">
        <f t="shared" si="9"/>
        <v>0</v>
      </c>
      <c r="BQ37" s="5">
        <f t="shared" si="9"/>
        <v>0</v>
      </c>
      <c r="BR37" s="5">
        <f t="shared" si="9"/>
        <v>3</v>
      </c>
      <c r="BS37" s="5">
        <f t="shared" si="9"/>
        <v>3</v>
      </c>
    </row>
    <row r="39" spans="1:71" x14ac:dyDescent="0.2">
      <c r="A39" s="6" t="s">
        <v>12</v>
      </c>
      <c r="B39" s="5">
        <f>B18</f>
        <v>14</v>
      </c>
      <c r="C39" s="5">
        <f t="shared" ref="C39:BN39" si="10">C18</f>
        <v>13</v>
      </c>
      <c r="D39" s="5">
        <f t="shared" si="10"/>
        <v>19</v>
      </c>
      <c r="E39" s="5">
        <f t="shared" si="10"/>
        <v>11</v>
      </c>
      <c r="F39" s="5">
        <f t="shared" si="10"/>
        <v>9</v>
      </c>
      <c r="G39" s="5">
        <f t="shared" si="10"/>
        <v>1</v>
      </c>
      <c r="H39" s="5">
        <f t="shared" si="10"/>
        <v>0</v>
      </c>
      <c r="I39" s="5">
        <f t="shared" si="10"/>
        <v>1</v>
      </c>
      <c r="J39" s="5">
        <f t="shared" si="10"/>
        <v>1</v>
      </c>
      <c r="K39" s="5">
        <f t="shared" si="10"/>
        <v>0</v>
      </c>
      <c r="L39" s="5">
        <f t="shared" si="10"/>
        <v>2</v>
      </c>
      <c r="M39" s="5">
        <f t="shared" si="10"/>
        <v>3</v>
      </c>
      <c r="N39" s="5">
        <f t="shared" si="10"/>
        <v>0</v>
      </c>
      <c r="O39" s="5">
        <f t="shared" si="10"/>
        <v>1</v>
      </c>
      <c r="P39" s="5">
        <f t="shared" si="10"/>
        <v>2</v>
      </c>
      <c r="Q39" s="5">
        <f t="shared" si="10"/>
        <v>2</v>
      </c>
      <c r="R39" s="5">
        <f t="shared" si="10"/>
        <v>3</v>
      </c>
      <c r="S39" s="5">
        <f t="shared" si="10"/>
        <v>16</v>
      </c>
      <c r="T39" s="5">
        <f t="shared" si="10"/>
        <v>0</v>
      </c>
      <c r="U39" s="5">
        <f t="shared" si="10"/>
        <v>6</v>
      </c>
      <c r="V39" s="5">
        <f t="shared" si="10"/>
        <v>1</v>
      </c>
      <c r="W39" s="5">
        <f t="shared" si="10"/>
        <v>0</v>
      </c>
      <c r="X39" s="5">
        <f t="shared" si="10"/>
        <v>2</v>
      </c>
      <c r="Y39" s="5">
        <f t="shared" si="10"/>
        <v>5</v>
      </c>
      <c r="Z39" s="5">
        <f t="shared" si="10"/>
        <v>6</v>
      </c>
      <c r="AA39" s="5">
        <f t="shared" si="10"/>
        <v>1</v>
      </c>
      <c r="AB39" s="5">
        <f t="shared" si="10"/>
        <v>0</v>
      </c>
      <c r="AC39" s="5">
        <f t="shared" si="10"/>
        <v>0</v>
      </c>
      <c r="AD39" s="5">
        <f t="shared" si="10"/>
        <v>3</v>
      </c>
      <c r="AE39" s="5">
        <f t="shared" si="10"/>
        <v>1</v>
      </c>
      <c r="AF39" s="5">
        <f t="shared" si="10"/>
        <v>25</v>
      </c>
      <c r="AG39" s="5">
        <f t="shared" si="10"/>
        <v>0</v>
      </c>
      <c r="AH39" s="5">
        <f t="shared" si="10"/>
        <v>0</v>
      </c>
      <c r="AI39" s="5">
        <f t="shared" si="10"/>
        <v>0</v>
      </c>
      <c r="AJ39" s="5">
        <f t="shared" si="10"/>
        <v>0</v>
      </c>
      <c r="AK39" s="5">
        <f t="shared" si="10"/>
        <v>2</v>
      </c>
      <c r="AL39" s="5">
        <f t="shared" si="10"/>
        <v>8</v>
      </c>
      <c r="AM39" s="5">
        <f t="shared" si="10"/>
        <v>5</v>
      </c>
      <c r="AN39" s="5">
        <f t="shared" si="10"/>
        <v>0</v>
      </c>
      <c r="AO39" s="5">
        <f t="shared" si="10"/>
        <v>0</v>
      </c>
      <c r="AP39" s="5">
        <f t="shared" si="10"/>
        <v>4</v>
      </c>
      <c r="AQ39" s="5">
        <f t="shared" si="10"/>
        <v>2</v>
      </c>
      <c r="AR39" s="5">
        <f t="shared" si="10"/>
        <v>1</v>
      </c>
      <c r="AS39" s="5">
        <f t="shared" si="10"/>
        <v>22</v>
      </c>
      <c r="AT39" s="5">
        <f t="shared" si="10"/>
        <v>0</v>
      </c>
      <c r="AU39" s="5">
        <f t="shared" si="10"/>
        <v>0</v>
      </c>
      <c r="AV39" s="5">
        <f t="shared" si="10"/>
        <v>2</v>
      </c>
      <c r="AW39" s="5">
        <f t="shared" si="10"/>
        <v>0</v>
      </c>
      <c r="AX39" s="5">
        <f t="shared" si="10"/>
        <v>1</v>
      </c>
      <c r="AY39" s="5">
        <f t="shared" si="10"/>
        <v>7</v>
      </c>
      <c r="AZ39" s="5">
        <f t="shared" si="10"/>
        <v>3</v>
      </c>
      <c r="BA39" s="5">
        <f t="shared" si="10"/>
        <v>3</v>
      </c>
      <c r="BB39" s="5">
        <f t="shared" si="10"/>
        <v>0</v>
      </c>
      <c r="BC39" s="5">
        <f t="shared" si="10"/>
        <v>0</v>
      </c>
      <c r="BD39" s="5">
        <f t="shared" si="10"/>
        <v>0</v>
      </c>
      <c r="BE39" s="5">
        <f t="shared" si="10"/>
        <v>0</v>
      </c>
      <c r="BF39" s="5">
        <f t="shared" si="10"/>
        <v>16</v>
      </c>
      <c r="BG39" s="5">
        <f t="shared" si="10"/>
        <v>0</v>
      </c>
      <c r="BH39" s="5">
        <f t="shared" si="10"/>
        <v>0</v>
      </c>
      <c r="BI39" s="5">
        <f t="shared" si="10"/>
        <v>0</v>
      </c>
      <c r="BJ39" s="5">
        <f t="shared" si="10"/>
        <v>0</v>
      </c>
      <c r="BK39" s="5">
        <f t="shared" si="10"/>
        <v>6</v>
      </c>
      <c r="BL39" s="5">
        <f t="shared" si="10"/>
        <v>2</v>
      </c>
      <c r="BM39" s="5">
        <f t="shared" si="10"/>
        <v>3</v>
      </c>
      <c r="BN39" s="5">
        <f t="shared" si="10"/>
        <v>5</v>
      </c>
      <c r="BO39" s="5">
        <f t="shared" ref="BO39:BS39" si="11">BO18</f>
        <v>0</v>
      </c>
      <c r="BP39" s="5">
        <f t="shared" si="11"/>
        <v>0</v>
      </c>
      <c r="BQ39" s="5">
        <f t="shared" si="11"/>
        <v>0</v>
      </c>
      <c r="BR39" s="5">
        <f t="shared" si="11"/>
        <v>5</v>
      </c>
      <c r="BS39" s="5">
        <f t="shared" si="11"/>
        <v>21</v>
      </c>
    </row>
    <row r="41" spans="1:71" x14ac:dyDescent="0.2">
      <c r="A41" s="6" t="s">
        <v>19</v>
      </c>
      <c r="B41" s="5">
        <f>SUM(B19:B21)</f>
        <v>65</v>
      </c>
      <c r="C41" s="5">
        <f t="shared" ref="C41:BN41" si="12">SUM(C19:C21)</f>
        <v>114</v>
      </c>
      <c r="D41" s="5">
        <f t="shared" si="12"/>
        <v>135</v>
      </c>
      <c r="E41" s="5">
        <f t="shared" si="12"/>
        <v>137</v>
      </c>
      <c r="F41" s="5">
        <f t="shared" si="12"/>
        <v>136</v>
      </c>
      <c r="G41" s="5">
        <f t="shared" si="12"/>
        <v>7</v>
      </c>
      <c r="H41" s="5">
        <f t="shared" si="12"/>
        <v>15</v>
      </c>
      <c r="I41" s="5">
        <f t="shared" si="12"/>
        <v>23</v>
      </c>
      <c r="J41" s="5">
        <f t="shared" si="12"/>
        <v>14</v>
      </c>
      <c r="K41" s="5">
        <f t="shared" si="12"/>
        <v>8</v>
      </c>
      <c r="L41" s="5">
        <f t="shared" si="12"/>
        <v>23</v>
      </c>
      <c r="M41" s="5">
        <f t="shared" si="12"/>
        <v>8</v>
      </c>
      <c r="N41" s="5">
        <f t="shared" si="12"/>
        <v>1</v>
      </c>
      <c r="O41" s="5">
        <f t="shared" si="12"/>
        <v>1</v>
      </c>
      <c r="P41" s="5">
        <f t="shared" si="12"/>
        <v>17</v>
      </c>
      <c r="Q41" s="5">
        <f t="shared" si="12"/>
        <v>4</v>
      </c>
      <c r="R41" s="5">
        <f t="shared" si="12"/>
        <v>24</v>
      </c>
      <c r="S41" s="5">
        <f t="shared" si="12"/>
        <v>145</v>
      </c>
      <c r="T41" s="5">
        <f t="shared" si="12"/>
        <v>4</v>
      </c>
      <c r="U41" s="5">
        <f t="shared" si="12"/>
        <v>9</v>
      </c>
      <c r="V41" s="5">
        <f t="shared" si="12"/>
        <v>25</v>
      </c>
      <c r="W41" s="5">
        <f t="shared" si="12"/>
        <v>12</v>
      </c>
      <c r="X41" s="5">
        <f t="shared" si="12"/>
        <v>9</v>
      </c>
      <c r="Y41" s="5">
        <f t="shared" si="12"/>
        <v>30</v>
      </c>
      <c r="Z41" s="5">
        <f t="shared" si="12"/>
        <v>7</v>
      </c>
      <c r="AA41" s="5">
        <f t="shared" si="12"/>
        <v>2</v>
      </c>
      <c r="AB41" s="5">
        <f t="shared" si="12"/>
        <v>13</v>
      </c>
      <c r="AC41" s="5">
        <f t="shared" si="12"/>
        <v>17</v>
      </c>
      <c r="AD41" s="5">
        <f t="shared" si="12"/>
        <v>10</v>
      </c>
      <c r="AE41" s="5">
        <f t="shared" si="12"/>
        <v>20</v>
      </c>
      <c r="AF41" s="5">
        <f t="shared" si="12"/>
        <v>158</v>
      </c>
      <c r="AG41" s="5">
        <f t="shared" si="12"/>
        <v>2</v>
      </c>
      <c r="AH41" s="5">
        <f t="shared" si="12"/>
        <v>1</v>
      </c>
      <c r="AI41" s="5">
        <f t="shared" si="12"/>
        <v>9</v>
      </c>
      <c r="AJ41" s="5">
        <f t="shared" si="12"/>
        <v>3</v>
      </c>
      <c r="AK41" s="5">
        <f t="shared" si="12"/>
        <v>8</v>
      </c>
      <c r="AL41" s="5">
        <f t="shared" si="12"/>
        <v>4</v>
      </c>
      <c r="AM41" s="5">
        <f t="shared" si="12"/>
        <v>2</v>
      </c>
      <c r="AN41" s="5">
        <f t="shared" si="12"/>
        <v>0</v>
      </c>
      <c r="AO41" s="5">
        <f t="shared" si="12"/>
        <v>10</v>
      </c>
      <c r="AP41" s="5">
        <f t="shared" si="12"/>
        <v>2</v>
      </c>
      <c r="AQ41" s="5">
        <f t="shared" si="12"/>
        <v>4</v>
      </c>
      <c r="AR41" s="5">
        <f t="shared" si="12"/>
        <v>8</v>
      </c>
      <c r="AS41" s="5">
        <f t="shared" si="12"/>
        <v>53</v>
      </c>
      <c r="AT41" s="5">
        <f t="shared" si="12"/>
        <v>0</v>
      </c>
      <c r="AU41" s="5">
        <f t="shared" si="12"/>
        <v>0</v>
      </c>
      <c r="AV41" s="5">
        <f t="shared" si="12"/>
        <v>1</v>
      </c>
      <c r="AW41" s="5">
        <f t="shared" si="12"/>
        <v>1</v>
      </c>
      <c r="AX41" s="5">
        <f t="shared" si="12"/>
        <v>0</v>
      </c>
      <c r="AY41" s="5">
        <f t="shared" si="12"/>
        <v>0</v>
      </c>
      <c r="AZ41" s="5">
        <f t="shared" si="12"/>
        <v>1</v>
      </c>
      <c r="BA41" s="5">
        <f t="shared" si="12"/>
        <v>1</v>
      </c>
      <c r="BB41" s="5">
        <f t="shared" si="12"/>
        <v>8</v>
      </c>
      <c r="BC41" s="5">
        <f t="shared" si="12"/>
        <v>0</v>
      </c>
      <c r="BD41" s="5">
        <f t="shared" si="12"/>
        <v>0</v>
      </c>
      <c r="BE41" s="5">
        <f t="shared" si="12"/>
        <v>2</v>
      </c>
      <c r="BF41" s="5">
        <f t="shared" si="12"/>
        <v>14</v>
      </c>
      <c r="BG41" s="5">
        <f t="shared" si="12"/>
        <v>0</v>
      </c>
      <c r="BH41" s="5">
        <f t="shared" si="12"/>
        <v>6</v>
      </c>
      <c r="BI41" s="5">
        <f t="shared" si="12"/>
        <v>2</v>
      </c>
      <c r="BJ41" s="5">
        <f t="shared" si="12"/>
        <v>9</v>
      </c>
      <c r="BK41" s="5">
        <f t="shared" si="12"/>
        <v>3</v>
      </c>
      <c r="BL41" s="5">
        <f t="shared" si="12"/>
        <v>1</v>
      </c>
      <c r="BM41" s="5">
        <f t="shared" si="12"/>
        <v>0</v>
      </c>
      <c r="BN41" s="5">
        <f t="shared" si="12"/>
        <v>1</v>
      </c>
      <c r="BO41" s="5">
        <f t="shared" ref="BO41:BS41" si="13">SUM(BO19:BO21)</f>
        <v>1</v>
      </c>
      <c r="BP41" s="5">
        <f t="shared" si="13"/>
        <v>3</v>
      </c>
      <c r="BQ41" s="5">
        <f t="shared" si="13"/>
        <v>0</v>
      </c>
      <c r="BR41" s="5">
        <f t="shared" si="13"/>
        <v>5</v>
      </c>
      <c r="BS41" s="5">
        <f t="shared" si="13"/>
        <v>31</v>
      </c>
    </row>
    <row r="43" spans="1:71" ht="15" x14ac:dyDescent="0.25">
      <c r="A43" s="8" t="s">
        <v>66</v>
      </c>
      <c r="B43" s="8">
        <f>SUM(B29:B41)</f>
        <v>642</v>
      </c>
      <c r="C43" s="8">
        <f t="shared" ref="C43:BN43" si="14">SUM(C29:C41)</f>
        <v>720</v>
      </c>
      <c r="D43" s="8">
        <f t="shared" si="14"/>
        <v>758</v>
      </c>
      <c r="E43" s="8">
        <f t="shared" si="14"/>
        <v>748</v>
      </c>
      <c r="F43" s="8">
        <f t="shared" si="14"/>
        <v>763</v>
      </c>
      <c r="G43" s="8">
        <f t="shared" si="14"/>
        <v>38</v>
      </c>
      <c r="H43" s="8">
        <f t="shared" si="14"/>
        <v>62</v>
      </c>
      <c r="I43" s="8">
        <f t="shared" si="14"/>
        <v>81</v>
      </c>
      <c r="J43" s="8">
        <f t="shared" si="14"/>
        <v>27</v>
      </c>
      <c r="K43" s="8">
        <f t="shared" si="14"/>
        <v>46</v>
      </c>
      <c r="L43" s="8">
        <f t="shared" si="14"/>
        <v>108</v>
      </c>
      <c r="M43" s="8">
        <f t="shared" si="14"/>
        <v>89</v>
      </c>
      <c r="N43" s="8">
        <f t="shared" si="14"/>
        <v>22</v>
      </c>
      <c r="O43" s="8">
        <f t="shared" si="14"/>
        <v>49</v>
      </c>
      <c r="P43" s="8">
        <f t="shared" si="14"/>
        <v>61</v>
      </c>
      <c r="Q43" s="8">
        <f t="shared" si="14"/>
        <v>42</v>
      </c>
      <c r="R43" s="8">
        <f t="shared" si="14"/>
        <v>180</v>
      </c>
      <c r="S43" s="8">
        <f t="shared" si="14"/>
        <v>805</v>
      </c>
      <c r="T43" s="8">
        <f t="shared" si="14"/>
        <v>15</v>
      </c>
      <c r="U43" s="8">
        <f t="shared" si="14"/>
        <v>29</v>
      </c>
      <c r="V43" s="8">
        <f t="shared" si="14"/>
        <v>52</v>
      </c>
      <c r="W43" s="8">
        <f t="shared" si="14"/>
        <v>14</v>
      </c>
      <c r="X43" s="8">
        <f t="shared" si="14"/>
        <v>20</v>
      </c>
      <c r="Y43" s="8">
        <f t="shared" si="14"/>
        <v>42</v>
      </c>
      <c r="Z43" s="8">
        <f t="shared" si="14"/>
        <v>51</v>
      </c>
      <c r="AA43" s="8">
        <f t="shared" si="14"/>
        <v>12</v>
      </c>
      <c r="AB43" s="8">
        <f t="shared" si="14"/>
        <v>33</v>
      </c>
      <c r="AC43" s="8">
        <f t="shared" si="14"/>
        <v>29</v>
      </c>
      <c r="AD43" s="8">
        <f t="shared" si="14"/>
        <v>21</v>
      </c>
      <c r="AE43" s="8">
        <f t="shared" si="14"/>
        <v>61</v>
      </c>
      <c r="AF43" s="8">
        <f t="shared" si="14"/>
        <v>379</v>
      </c>
      <c r="AG43" s="8">
        <f t="shared" si="14"/>
        <v>13</v>
      </c>
      <c r="AH43" s="8">
        <f t="shared" si="14"/>
        <v>17</v>
      </c>
      <c r="AI43" s="8">
        <f t="shared" si="14"/>
        <v>12</v>
      </c>
      <c r="AJ43" s="8">
        <f t="shared" si="14"/>
        <v>3</v>
      </c>
      <c r="AK43" s="8">
        <f t="shared" si="14"/>
        <v>15</v>
      </c>
      <c r="AL43" s="8">
        <f t="shared" si="14"/>
        <v>24</v>
      </c>
      <c r="AM43" s="8">
        <f t="shared" si="14"/>
        <v>21</v>
      </c>
      <c r="AN43" s="8">
        <f t="shared" si="14"/>
        <v>4</v>
      </c>
      <c r="AO43" s="8">
        <f t="shared" si="14"/>
        <v>16</v>
      </c>
      <c r="AP43" s="8">
        <f t="shared" si="14"/>
        <v>7</v>
      </c>
      <c r="AQ43" s="8">
        <f t="shared" si="14"/>
        <v>11</v>
      </c>
      <c r="AR43" s="8">
        <f t="shared" si="14"/>
        <v>14</v>
      </c>
      <c r="AS43" s="8">
        <f t="shared" si="14"/>
        <v>157</v>
      </c>
      <c r="AT43" s="8">
        <f t="shared" si="14"/>
        <v>14</v>
      </c>
      <c r="AU43" s="8">
        <f t="shared" si="14"/>
        <v>32</v>
      </c>
      <c r="AV43" s="8">
        <f t="shared" si="14"/>
        <v>37</v>
      </c>
      <c r="AW43" s="8">
        <f t="shared" si="14"/>
        <v>8</v>
      </c>
      <c r="AX43" s="8">
        <f t="shared" si="14"/>
        <v>27</v>
      </c>
      <c r="AY43" s="8">
        <f t="shared" si="14"/>
        <v>27</v>
      </c>
      <c r="AZ43" s="8">
        <f t="shared" si="14"/>
        <v>50</v>
      </c>
      <c r="BA43" s="8">
        <f t="shared" si="14"/>
        <v>10</v>
      </c>
      <c r="BB43" s="8">
        <f t="shared" si="14"/>
        <v>23</v>
      </c>
      <c r="BC43" s="8">
        <f t="shared" si="14"/>
        <v>6</v>
      </c>
      <c r="BD43" s="8">
        <f t="shared" si="14"/>
        <v>49</v>
      </c>
      <c r="BE43" s="8">
        <f t="shared" si="14"/>
        <v>55</v>
      </c>
      <c r="BF43" s="8">
        <f t="shared" si="14"/>
        <v>338</v>
      </c>
      <c r="BG43" s="8">
        <f t="shared" si="14"/>
        <v>9</v>
      </c>
      <c r="BH43" s="8">
        <f t="shared" si="14"/>
        <v>40</v>
      </c>
      <c r="BI43" s="8">
        <f t="shared" si="14"/>
        <v>84</v>
      </c>
      <c r="BJ43" s="8">
        <f t="shared" si="14"/>
        <v>47</v>
      </c>
      <c r="BK43" s="8">
        <f t="shared" si="14"/>
        <v>45</v>
      </c>
      <c r="BL43" s="8">
        <f t="shared" si="14"/>
        <v>25</v>
      </c>
      <c r="BM43" s="8">
        <f t="shared" si="14"/>
        <v>45</v>
      </c>
      <c r="BN43" s="8">
        <f t="shared" si="14"/>
        <v>32</v>
      </c>
      <c r="BO43" s="8">
        <f t="shared" ref="BO43:BS43" si="15">SUM(BO29:BO41)</f>
        <v>28</v>
      </c>
      <c r="BP43" s="8">
        <f t="shared" si="15"/>
        <v>21</v>
      </c>
      <c r="BQ43" s="8">
        <f t="shared" si="15"/>
        <v>44</v>
      </c>
      <c r="BR43" s="8">
        <f t="shared" si="15"/>
        <v>59</v>
      </c>
      <c r="BS43" s="8">
        <f t="shared" si="15"/>
        <v>479</v>
      </c>
    </row>
    <row r="45" spans="1:71" x14ac:dyDescent="0.2">
      <c r="A45" s="5" t="s">
        <v>62</v>
      </c>
      <c r="B45" s="5">
        <f>SUM(B22:B24)</f>
        <v>6</v>
      </c>
      <c r="C45" s="5">
        <f t="shared" ref="C45:BN45" si="16">SUM(C22:C24)</f>
        <v>3</v>
      </c>
      <c r="D45" s="5">
        <f t="shared" si="16"/>
        <v>4</v>
      </c>
      <c r="E45" s="5">
        <f t="shared" si="16"/>
        <v>0</v>
      </c>
      <c r="F45" s="5">
        <f t="shared" si="16"/>
        <v>0</v>
      </c>
      <c r="G45" s="5">
        <f t="shared" si="16"/>
        <v>0</v>
      </c>
      <c r="H45" s="5">
        <f t="shared" si="16"/>
        <v>1</v>
      </c>
      <c r="I45" s="5">
        <f t="shared" si="16"/>
        <v>0</v>
      </c>
      <c r="J45" s="5">
        <f t="shared" si="16"/>
        <v>0</v>
      </c>
      <c r="K45" s="5">
        <f t="shared" si="16"/>
        <v>0</v>
      </c>
      <c r="L45" s="5">
        <f t="shared" si="16"/>
        <v>0</v>
      </c>
      <c r="M45" s="5">
        <f t="shared" si="16"/>
        <v>0</v>
      </c>
      <c r="N45" s="5">
        <f t="shared" si="16"/>
        <v>0</v>
      </c>
      <c r="O45" s="5">
        <f t="shared" si="16"/>
        <v>0</v>
      </c>
      <c r="P45" s="5">
        <f t="shared" si="16"/>
        <v>0</v>
      </c>
      <c r="Q45" s="5">
        <f t="shared" si="16"/>
        <v>0</v>
      </c>
      <c r="R45" s="5">
        <f t="shared" si="16"/>
        <v>0</v>
      </c>
      <c r="S45" s="5">
        <f t="shared" si="16"/>
        <v>1</v>
      </c>
      <c r="T45" s="5">
        <f t="shared" si="16"/>
        <v>0</v>
      </c>
      <c r="U45" s="5">
        <f t="shared" si="16"/>
        <v>0</v>
      </c>
      <c r="V45" s="5">
        <f t="shared" si="16"/>
        <v>0</v>
      </c>
      <c r="W45" s="5">
        <f t="shared" si="16"/>
        <v>1</v>
      </c>
      <c r="X45" s="5">
        <f t="shared" si="16"/>
        <v>0</v>
      </c>
      <c r="Y45" s="5">
        <f t="shared" si="16"/>
        <v>0</v>
      </c>
      <c r="Z45" s="5">
        <f t="shared" si="16"/>
        <v>0</v>
      </c>
      <c r="AA45" s="5">
        <f t="shared" si="16"/>
        <v>0</v>
      </c>
      <c r="AB45" s="5">
        <f t="shared" si="16"/>
        <v>0</v>
      </c>
      <c r="AC45" s="5">
        <f t="shared" si="16"/>
        <v>0</v>
      </c>
      <c r="AD45" s="5">
        <f t="shared" si="16"/>
        <v>0</v>
      </c>
      <c r="AE45" s="5">
        <f t="shared" si="16"/>
        <v>0</v>
      </c>
      <c r="AF45" s="5">
        <f t="shared" si="16"/>
        <v>1</v>
      </c>
      <c r="AG45" s="5">
        <f t="shared" si="16"/>
        <v>0</v>
      </c>
      <c r="AH45" s="5">
        <f t="shared" si="16"/>
        <v>0</v>
      </c>
      <c r="AI45" s="5">
        <f t="shared" si="16"/>
        <v>0</v>
      </c>
      <c r="AJ45" s="5">
        <f t="shared" si="16"/>
        <v>0</v>
      </c>
      <c r="AK45" s="5">
        <f t="shared" si="16"/>
        <v>0</v>
      </c>
      <c r="AL45" s="5">
        <f t="shared" si="16"/>
        <v>0</v>
      </c>
      <c r="AM45" s="5">
        <f t="shared" si="16"/>
        <v>0</v>
      </c>
      <c r="AN45" s="5">
        <f t="shared" si="16"/>
        <v>0</v>
      </c>
      <c r="AO45" s="5">
        <f t="shared" si="16"/>
        <v>0</v>
      </c>
      <c r="AP45" s="5">
        <f t="shared" si="16"/>
        <v>0</v>
      </c>
      <c r="AQ45" s="5">
        <f t="shared" si="16"/>
        <v>0</v>
      </c>
      <c r="AR45" s="5">
        <f t="shared" si="16"/>
        <v>0</v>
      </c>
      <c r="AS45" s="5">
        <f t="shared" si="16"/>
        <v>0</v>
      </c>
      <c r="AT45" s="5">
        <f t="shared" si="16"/>
        <v>0</v>
      </c>
      <c r="AU45" s="5">
        <f t="shared" si="16"/>
        <v>0</v>
      </c>
      <c r="AV45" s="5">
        <f t="shared" si="16"/>
        <v>2</v>
      </c>
      <c r="AW45" s="5">
        <f t="shared" si="16"/>
        <v>0</v>
      </c>
      <c r="AX45" s="5">
        <f t="shared" si="16"/>
        <v>0</v>
      </c>
      <c r="AY45" s="5">
        <f t="shared" si="16"/>
        <v>0</v>
      </c>
      <c r="AZ45" s="5">
        <f t="shared" si="16"/>
        <v>0</v>
      </c>
      <c r="BA45" s="5">
        <f t="shared" si="16"/>
        <v>0</v>
      </c>
      <c r="BB45" s="5">
        <f t="shared" si="16"/>
        <v>0</v>
      </c>
      <c r="BC45" s="5">
        <f t="shared" si="16"/>
        <v>0</v>
      </c>
      <c r="BD45" s="5">
        <f t="shared" si="16"/>
        <v>0</v>
      </c>
      <c r="BE45" s="5">
        <f t="shared" si="16"/>
        <v>0</v>
      </c>
      <c r="BF45" s="5">
        <f t="shared" si="16"/>
        <v>2</v>
      </c>
      <c r="BG45" s="5">
        <f t="shared" si="16"/>
        <v>0</v>
      </c>
      <c r="BH45" s="5">
        <f t="shared" si="16"/>
        <v>0</v>
      </c>
      <c r="BI45" s="5">
        <f t="shared" si="16"/>
        <v>1</v>
      </c>
      <c r="BJ45" s="5">
        <f t="shared" si="16"/>
        <v>0</v>
      </c>
      <c r="BK45" s="5">
        <f t="shared" si="16"/>
        <v>0</v>
      </c>
      <c r="BL45" s="5">
        <f t="shared" si="16"/>
        <v>0</v>
      </c>
      <c r="BM45" s="5">
        <f t="shared" si="16"/>
        <v>0</v>
      </c>
      <c r="BN45" s="5">
        <f t="shared" si="16"/>
        <v>0</v>
      </c>
      <c r="BO45" s="5">
        <f t="shared" ref="BO45:BS45" si="17">SUM(BO22:BO24)</f>
        <v>0</v>
      </c>
      <c r="BP45" s="5">
        <f t="shared" si="17"/>
        <v>0</v>
      </c>
      <c r="BQ45" s="5">
        <f t="shared" si="17"/>
        <v>0</v>
      </c>
      <c r="BR45" s="5">
        <f t="shared" si="17"/>
        <v>0</v>
      </c>
      <c r="BS45" s="5">
        <f t="shared" si="17"/>
        <v>1</v>
      </c>
    </row>
    <row r="47" spans="1:71" x14ac:dyDescent="0.2">
      <c r="A47" s="5" t="s">
        <v>67</v>
      </c>
      <c r="B47" s="5">
        <f>B43+B45</f>
        <v>648</v>
      </c>
      <c r="C47" s="5">
        <f t="shared" ref="C47:BN47" si="18">C43+C45</f>
        <v>723</v>
      </c>
      <c r="D47" s="5">
        <f t="shared" si="18"/>
        <v>762</v>
      </c>
      <c r="E47" s="5">
        <f t="shared" si="18"/>
        <v>748</v>
      </c>
      <c r="F47" s="5">
        <f t="shared" si="18"/>
        <v>763</v>
      </c>
      <c r="G47" s="5">
        <f t="shared" si="18"/>
        <v>38</v>
      </c>
      <c r="H47" s="5">
        <f t="shared" si="18"/>
        <v>63</v>
      </c>
      <c r="I47" s="5">
        <f t="shared" si="18"/>
        <v>81</v>
      </c>
      <c r="J47" s="5">
        <f t="shared" si="18"/>
        <v>27</v>
      </c>
      <c r="K47" s="5">
        <f t="shared" si="18"/>
        <v>46</v>
      </c>
      <c r="L47" s="5">
        <f t="shared" si="18"/>
        <v>108</v>
      </c>
      <c r="M47" s="5">
        <f t="shared" si="18"/>
        <v>89</v>
      </c>
      <c r="N47" s="5">
        <f t="shared" si="18"/>
        <v>22</v>
      </c>
      <c r="O47" s="5">
        <f t="shared" si="18"/>
        <v>49</v>
      </c>
      <c r="P47" s="5">
        <f t="shared" si="18"/>
        <v>61</v>
      </c>
      <c r="Q47" s="5">
        <f t="shared" si="18"/>
        <v>42</v>
      </c>
      <c r="R47" s="5">
        <f t="shared" si="18"/>
        <v>180</v>
      </c>
      <c r="S47" s="5">
        <f t="shared" si="18"/>
        <v>806</v>
      </c>
      <c r="T47" s="5">
        <f t="shared" si="18"/>
        <v>15</v>
      </c>
      <c r="U47" s="5">
        <f t="shared" si="18"/>
        <v>29</v>
      </c>
      <c r="V47" s="5">
        <f t="shared" si="18"/>
        <v>52</v>
      </c>
      <c r="W47" s="5">
        <f t="shared" si="18"/>
        <v>15</v>
      </c>
      <c r="X47" s="5">
        <f t="shared" si="18"/>
        <v>20</v>
      </c>
      <c r="Y47" s="5">
        <f t="shared" si="18"/>
        <v>42</v>
      </c>
      <c r="Z47" s="5">
        <f t="shared" si="18"/>
        <v>51</v>
      </c>
      <c r="AA47" s="5">
        <f t="shared" si="18"/>
        <v>12</v>
      </c>
      <c r="AB47" s="5">
        <f t="shared" si="18"/>
        <v>33</v>
      </c>
      <c r="AC47" s="5">
        <f t="shared" si="18"/>
        <v>29</v>
      </c>
      <c r="AD47" s="5">
        <f t="shared" si="18"/>
        <v>21</v>
      </c>
      <c r="AE47" s="5">
        <f t="shared" si="18"/>
        <v>61</v>
      </c>
      <c r="AF47" s="5">
        <f t="shared" si="18"/>
        <v>380</v>
      </c>
      <c r="AG47" s="5">
        <f t="shared" si="18"/>
        <v>13</v>
      </c>
      <c r="AH47" s="5">
        <f t="shared" si="18"/>
        <v>17</v>
      </c>
      <c r="AI47" s="5">
        <f t="shared" si="18"/>
        <v>12</v>
      </c>
      <c r="AJ47" s="5">
        <f t="shared" si="18"/>
        <v>3</v>
      </c>
      <c r="AK47" s="5">
        <f t="shared" si="18"/>
        <v>15</v>
      </c>
      <c r="AL47" s="5">
        <f t="shared" si="18"/>
        <v>24</v>
      </c>
      <c r="AM47" s="5">
        <f t="shared" si="18"/>
        <v>21</v>
      </c>
      <c r="AN47" s="5">
        <f t="shared" si="18"/>
        <v>4</v>
      </c>
      <c r="AO47" s="5">
        <f t="shared" si="18"/>
        <v>16</v>
      </c>
      <c r="AP47" s="5">
        <f t="shared" si="18"/>
        <v>7</v>
      </c>
      <c r="AQ47" s="5">
        <f t="shared" si="18"/>
        <v>11</v>
      </c>
      <c r="AR47" s="5">
        <f t="shared" si="18"/>
        <v>14</v>
      </c>
      <c r="AS47" s="5">
        <f t="shared" si="18"/>
        <v>157</v>
      </c>
      <c r="AT47" s="5">
        <f t="shared" si="18"/>
        <v>14</v>
      </c>
      <c r="AU47" s="5">
        <f t="shared" si="18"/>
        <v>32</v>
      </c>
      <c r="AV47" s="5">
        <f t="shared" si="18"/>
        <v>39</v>
      </c>
      <c r="AW47" s="5">
        <f t="shared" si="18"/>
        <v>8</v>
      </c>
      <c r="AX47" s="5">
        <f t="shared" si="18"/>
        <v>27</v>
      </c>
      <c r="AY47" s="5">
        <f t="shared" si="18"/>
        <v>27</v>
      </c>
      <c r="AZ47" s="5">
        <f t="shared" si="18"/>
        <v>50</v>
      </c>
      <c r="BA47" s="5">
        <f t="shared" si="18"/>
        <v>10</v>
      </c>
      <c r="BB47" s="5">
        <f t="shared" si="18"/>
        <v>23</v>
      </c>
      <c r="BC47" s="5">
        <f t="shared" si="18"/>
        <v>6</v>
      </c>
      <c r="BD47" s="5">
        <f t="shared" si="18"/>
        <v>49</v>
      </c>
      <c r="BE47" s="5">
        <f t="shared" si="18"/>
        <v>55</v>
      </c>
      <c r="BF47" s="5">
        <f t="shared" si="18"/>
        <v>340</v>
      </c>
      <c r="BG47" s="5">
        <f t="shared" si="18"/>
        <v>9</v>
      </c>
      <c r="BH47" s="5">
        <f t="shared" si="18"/>
        <v>40</v>
      </c>
      <c r="BI47" s="5">
        <f t="shared" si="18"/>
        <v>85</v>
      </c>
      <c r="BJ47" s="5">
        <f t="shared" si="18"/>
        <v>47</v>
      </c>
      <c r="BK47" s="5">
        <f t="shared" si="18"/>
        <v>45</v>
      </c>
      <c r="BL47" s="5">
        <f t="shared" si="18"/>
        <v>25</v>
      </c>
      <c r="BM47" s="5">
        <f t="shared" si="18"/>
        <v>45</v>
      </c>
      <c r="BN47" s="5">
        <f t="shared" si="18"/>
        <v>32</v>
      </c>
      <c r="BO47" s="5">
        <f t="shared" ref="BO47:BS47" si="19">BO43+BO45</f>
        <v>28</v>
      </c>
      <c r="BP47" s="5">
        <f t="shared" si="19"/>
        <v>21</v>
      </c>
      <c r="BQ47" s="5">
        <f t="shared" si="19"/>
        <v>44</v>
      </c>
      <c r="BR47" s="5">
        <f t="shared" si="19"/>
        <v>59</v>
      </c>
      <c r="BS47" s="5">
        <f t="shared" si="19"/>
        <v>480</v>
      </c>
    </row>
    <row r="49" spans="1:71" x14ac:dyDescent="0.2">
      <c r="A49" s="7" t="s">
        <v>68</v>
      </c>
      <c r="B49" s="7">
        <f>B47-B25</f>
        <v>0</v>
      </c>
      <c r="C49" s="7">
        <f t="shared" ref="C49:BN49" si="20">C47-C25</f>
        <v>0</v>
      </c>
      <c r="D49" s="7">
        <f t="shared" si="20"/>
        <v>0</v>
      </c>
      <c r="E49" s="7">
        <f t="shared" si="20"/>
        <v>0</v>
      </c>
      <c r="F49" s="7">
        <f t="shared" si="20"/>
        <v>0</v>
      </c>
      <c r="G49" s="7">
        <f t="shared" si="20"/>
        <v>0</v>
      </c>
      <c r="H49" s="7">
        <f t="shared" si="20"/>
        <v>0</v>
      </c>
      <c r="I49" s="7">
        <f t="shared" si="20"/>
        <v>0</v>
      </c>
      <c r="J49" s="7">
        <f t="shared" si="20"/>
        <v>0</v>
      </c>
      <c r="K49" s="7">
        <f t="shared" si="20"/>
        <v>0</v>
      </c>
      <c r="L49" s="7">
        <f t="shared" si="20"/>
        <v>0</v>
      </c>
      <c r="M49" s="7">
        <f t="shared" si="20"/>
        <v>0</v>
      </c>
      <c r="N49" s="7">
        <f t="shared" si="20"/>
        <v>0</v>
      </c>
      <c r="O49" s="7">
        <f t="shared" si="20"/>
        <v>0</v>
      </c>
      <c r="P49" s="7">
        <f t="shared" si="20"/>
        <v>0</v>
      </c>
      <c r="Q49" s="7">
        <f t="shared" si="20"/>
        <v>0</v>
      </c>
      <c r="R49" s="7">
        <f t="shared" si="20"/>
        <v>0</v>
      </c>
      <c r="S49" s="7">
        <f t="shared" si="20"/>
        <v>0</v>
      </c>
      <c r="T49" s="7">
        <f t="shared" si="20"/>
        <v>0</v>
      </c>
      <c r="U49" s="7">
        <f t="shared" si="20"/>
        <v>0</v>
      </c>
      <c r="V49" s="7">
        <f t="shared" si="20"/>
        <v>0</v>
      </c>
      <c r="W49" s="7">
        <f t="shared" si="20"/>
        <v>0</v>
      </c>
      <c r="X49" s="7">
        <f t="shared" si="20"/>
        <v>0</v>
      </c>
      <c r="Y49" s="7">
        <f t="shared" si="20"/>
        <v>0</v>
      </c>
      <c r="Z49" s="7">
        <f t="shared" si="20"/>
        <v>0</v>
      </c>
      <c r="AA49" s="7">
        <f t="shared" si="20"/>
        <v>0</v>
      </c>
      <c r="AB49" s="7">
        <f t="shared" si="20"/>
        <v>0</v>
      </c>
      <c r="AC49" s="7">
        <f t="shared" si="20"/>
        <v>0</v>
      </c>
      <c r="AD49" s="7">
        <f t="shared" si="20"/>
        <v>0</v>
      </c>
      <c r="AE49" s="7">
        <f t="shared" si="20"/>
        <v>0</v>
      </c>
      <c r="AF49" s="7">
        <f t="shared" si="20"/>
        <v>0</v>
      </c>
      <c r="AG49" s="7">
        <f t="shared" si="20"/>
        <v>0</v>
      </c>
      <c r="AH49" s="7">
        <f t="shared" si="20"/>
        <v>0</v>
      </c>
      <c r="AI49" s="7">
        <f t="shared" si="20"/>
        <v>0</v>
      </c>
      <c r="AJ49" s="7">
        <f t="shared" si="20"/>
        <v>0</v>
      </c>
      <c r="AK49" s="7">
        <f t="shared" si="20"/>
        <v>0</v>
      </c>
      <c r="AL49" s="7">
        <f t="shared" si="20"/>
        <v>0</v>
      </c>
      <c r="AM49" s="7">
        <f t="shared" si="20"/>
        <v>0</v>
      </c>
      <c r="AN49" s="7">
        <f t="shared" si="20"/>
        <v>0</v>
      </c>
      <c r="AO49" s="7">
        <f t="shared" si="20"/>
        <v>0</v>
      </c>
      <c r="AP49" s="7">
        <f t="shared" si="20"/>
        <v>0</v>
      </c>
      <c r="AQ49" s="7">
        <f t="shared" si="20"/>
        <v>0</v>
      </c>
      <c r="AR49" s="7">
        <f t="shared" si="20"/>
        <v>0</v>
      </c>
      <c r="AS49" s="7">
        <f t="shared" si="20"/>
        <v>0</v>
      </c>
      <c r="AT49" s="7">
        <f t="shared" si="20"/>
        <v>0</v>
      </c>
      <c r="AU49" s="7">
        <f t="shared" si="20"/>
        <v>0</v>
      </c>
      <c r="AV49" s="7">
        <f t="shared" si="20"/>
        <v>0</v>
      </c>
      <c r="AW49" s="7">
        <f t="shared" si="20"/>
        <v>0</v>
      </c>
      <c r="AX49" s="7">
        <f t="shared" si="20"/>
        <v>0</v>
      </c>
      <c r="AY49" s="7">
        <f t="shared" si="20"/>
        <v>0</v>
      </c>
      <c r="AZ49" s="7">
        <f t="shared" si="20"/>
        <v>0</v>
      </c>
      <c r="BA49" s="7">
        <f t="shared" si="20"/>
        <v>0</v>
      </c>
      <c r="BB49" s="7">
        <f t="shared" si="20"/>
        <v>0</v>
      </c>
      <c r="BC49" s="7">
        <f t="shared" si="20"/>
        <v>0</v>
      </c>
      <c r="BD49" s="7">
        <f t="shared" si="20"/>
        <v>0</v>
      </c>
      <c r="BE49" s="7">
        <f t="shared" si="20"/>
        <v>0</v>
      </c>
      <c r="BF49" s="7">
        <f t="shared" si="20"/>
        <v>0</v>
      </c>
      <c r="BG49" s="7">
        <f t="shared" si="20"/>
        <v>0</v>
      </c>
      <c r="BH49" s="7">
        <f t="shared" si="20"/>
        <v>0</v>
      </c>
      <c r="BI49" s="7">
        <f t="shared" si="20"/>
        <v>0</v>
      </c>
      <c r="BJ49" s="7">
        <f t="shared" si="20"/>
        <v>0</v>
      </c>
      <c r="BK49" s="7">
        <f t="shared" si="20"/>
        <v>0</v>
      </c>
      <c r="BL49" s="7">
        <f t="shared" si="20"/>
        <v>0</v>
      </c>
      <c r="BM49" s="7">
        <f t="shared" si="20"/>
        <v>0</v>
      </c>
      <c r="BN49" s="7">
        <f t="shared" si="20"/>
        <v>0</v>
      </c>
      <c r="BO49" s="7">
        <f t="shared" ref="BO49:BS49" si="21">BO47-BO25</f>
        <v>0</v>
      </c>
      <c r="BP49" s="7">
        <f t="shared" si="21"/>
        <v>0</v>
      </c>
      <c r="BQ49" s="7">
        <f t="shared" si="21"/>
        <v>0</v>
      </c>
      <c r="BR49" s="7">
        <f t="shared" si="21"/>
        <v>0</v>
      </c>
      <c r="BS49" s="7">
        <f t="shared" si="21"/>
        <v>0</v>
      </c>
    </row>
    <row r="52" spans="1:71" x14ac:dyDescent="0.2">
      <c r="A52" s="5" t="s">
        <v>69</v>
      </c>
    </row>
    <row r="54" spans="1:71" x14ac:dyDescent="0.2">
      <c r="A54" s="6" t="s">
        <v>14</v>
      </c>
      <c r="I54" s="5">
        <f>SUM(G29:I29)</f>
        <v>66</v>
      </c>
      <c r="L54" s="5">
        <f>SUM(J29:L29)</f>
        <v>89</v>
      </c>
      <c r="O54" s="5">
        <f>SUM(M29:O29)</f>
        <v>67</v>
      </c>
      <c r="R54" s="5">
        <f>SUM(P29:R29)</f>
        <v>101</v>
      </c>
      <c r="V54" s="5">
        <f>SUM(T29:V29)</f>
        <v>28</v>
      </c>
      <c r="Y54" s="5">
        <f>SUM(W29:Y29)</f>
        <v>1</v>
      </c>
      <c r="AB54" s="5">
        <f>SUM(Z29:AB29)</f>
        <v>17</v>
      </c>
      <c r="AE54" s="5">
        <f>SUM(AC29:AE29)</f>
        <v>23</v>
      </c>
      <c r="AI54" s="5">
        <f>SUM(AG29:AI29)</f>
        <v>11</v>
      </c>
      <c r="AL54" s="5">
        <f>SUM(AJ29:AL29)</f>
        <v>3</v>
      </c>
      <c r="AO54" s="5">
        <f>SUM(AM29:AO29)</f>
        <v>2</v>
      </c>
      <c r="AR54" s="5">
        <f>SUM(AP29:AR29)</f>
        <v>0</v>
      </c>
      <c r="AV54" s="5">
        <f>SUM(AT29:AV29)</f>
        <v>16</v>
      </c>
      <c r="AY54" s="5">
        <f>SUM(AW29:AY29)</f>
        <v>0</v>
      </c>
      <c r="BB54" s="5">
        <f>SUM(AZ29:BB29)</f>
        <v>0</v>
      </c>
      <c r="BE54" s="5">
        <f>SUM(BC29:BE29)</f>
        <v>0</v>
      </c>
      <c r="BI54" s="5">
        <f>SUM(BG29:BI29)</f>
        <v>12</v>
      </c>
      <c r="BL54" s="5">
        <f>SUM(BJ29:BL29)</f>
        <v>0</v>
      </c>
      <c r="BO54" s="5">
        <f>SUM(BM29:BO29)</f>
        <v>0</v>
      </c>
      <c r="BR54" s="5">
        <f>SUM(BP29:BR29)</f>
        <v>0</v>
      </c>
    </row>
    <row r="55" spans="1:71" x14ac:dyDescent="0.2">
      <c r="A55" s="5" t="s">
        <v>15</v>
      </c>
      <c r="I55" s="5">
        <f>SUM(G31:I31)</f>
        <v>60</v>
      </c>
      <c r="L55" s="5">
        <f>SUM(J31:L31)</f>
        <v>37</v>
      </c>
      <c r="O55" s="5">
        <f>SUM(M31:O31)</f>
        <v>61</v>
      </c>
      <c r="R55" s="5">
        <f>SUM(P31:R31)</f>
        <v>98</v>
      </c>
      <c r="V55" s="5">
        <f>SUM(T31:V31)</f>
        <v>11</v>
      </c>
      <c r="Y55" s="5">
        <f>SUM(W31:Y31)</f>
        <v>10</v>
      </c>
      <c r="AB55" s="5">
        <f>SUM(Z31:AB31)</f>
        <v>15</v>
      </c>
      <c r="AE55" s="5">
        <f>SUM(AC31:AE31)</f>
        <v>21</v>
      </c>
      <c r="AI55" s="5">
        <f>SUM(AG31:AI31)</f>
        <v>10</v>
      </c>
      <c r="AL55" s="5">
        <f>SUM(AJ31:AL31)</f>
        <v>5</v>
      </c>
      <c r="AO55" s="5">
        <f>SUM(AM31:AO31)</f>
        <v>5</v>
      </c>
      <c r="AR55" s="5">
        <f>SUM(AP31:AR31)</f>
        <v>7</v>
      </c>
      <c r="AV55" s="5">
        <f>SUM(AT31:AV31)</f>
        <v>54</v>
      </c>
      <c r="AY55" s="5">
        <f>SUM(AW31:AY31)</f>
        <v>46</v>
      </c>
      <c r="BB55" s="5">
        <f>SUM(AZ31:BB31)</f>
        <v>41</v>
      </c>
      <c r="BE55" s="5">
        <f>SUM(BC31:BE31)</f>
        <v>104</v>
      </c>
      <c r="BI55" s="5">
        <f>SUM(BG31:BI31)</f>
        <v>99</v>
      </c>
      <c r="BL55" s="5">
        <f>SUM(BJ31:BL31)</f>
        <v>88</v>
      </c>
      <c r="BO55" s="5">
        <f>SUM(BM31:BO31)</f>
        <v>79</v>
      </c>
      <c r="BR55" s="5">
        <f>SUM(BP31:BR31)</f>
        <v>108</v>
      </c>
    </row>
    <row r="56" spans="1:71" x14ac:dyDescent="0.2">
      <c r="A56" s="6" t="s">
        <v>16</v>
      </c>
      <c r="I56" s="5">
        <f>SUM(G33:I33)</f>
        <v>8</v>
      </c>
      <c r="L56" s="5">
        <f>SUM(J33:L33)</f>
        <v>2</v>
      </c>
      <c r="O56" s="5">
        <f>SUM(M33:O33)</f>
        <v>13</v>
      </c>
      <c r="R56" s="5">
        <f>SUM(P33:R33)</f>
        <v>4</v>
      </c>
      <c r="V56" s="5">
        <f>SUM(T33:V33)</f>
        <v>11</v>
      </c>
      <c r="Y56" s="5">
        <f>SUM(W33:Y33)</f>
        <v>5</v>
      </c>
      <c r="AB56" s="5">
        <f>SUM(Z33:AB33)</f>
        <v>27</v>
      </c>
      <c r="AE56" s="5">
        <f>SUM(AC33:AE33)</f>
        <v>0</v>
      </c>
      <c r="AI56" s="5">
        <f>SUM(AG33:AI33)</f>
        <v>5</v>
      </c>
      <c r="AL56" s="5">
        <f>SUM(AJ33:AL33)</f>
        <v>8</v>
      </c>
      <c r="AO56" s="5">
        <f>SUM(AM33:AO33)</f>
        <v>17</v>
      </c>
      <c r="AR56" s="5">
        <f>SUM(AP33:AR33)</f>
        <v>0</v>
      </c>
      <c r="AV56" s="5">
        <f>SUM(AT33:AV33)</f>
        <v>3</v>
      </c>
      <c r="AY56" s="5">
        <f>SUM(AW33:AY33)</f>
        <v>7</v>
      </c>
      <c r="BB56" s="5">
        <f>SUM(AZ33:BB33)</f>
        <v>20</v>
      </c>
      <c r="BE56" s="5">
        <f>SUM(BC33:BE33)</f>
        <v>2</v>
      </c>
      <c r="BI56" s="5">
        <f>SUM(BG33:BI33)</f>
        <v>9</v>
      </c>
      <c r="BL56" s="5">
        <f>SUM(BJ33:BL33)</f>
        <v>8</v>
      </c>
      <c r="BO56" s="5">
        <f>SUM(BM33:BO33)</f>
        <v>16</v>
      </c>
      <c r="BR56" s="5">
        <f>SUM(BP33:BR33)</f>
        <v>0</v>
      </c>
    </row>
    <row r="57" spans="1:71" x14ac:dyDescent="0.2">
      <c r="A57" s="6" t="s">
        <v>17</v>
      </c>
      <c r="I57" s="5">
        <f>SUM(G35:I35)</f>
        <v>0</v>
      </c>
      <c r="L57" s="5">
        <f>SUM(J35:L35)</f>
        <v>0</v>
      </c>
      <c r="O57" s="5">
        <f>SUM(M35:O35)</f>
        <v>0</v>
      </c>
      <c r="R57" s="5">
        <f>SUM(P35:R35)</f>
        <v>6</v>
      </c>
      <c r="V57" s="5">
        <f>SUM(T35:V35)</f>
        <v>1</v>
      </c>
      <c r="Y57" s="5">
        <f>SUM(W35:Y35)</f>
        <v>0</v>
      </c>
      <c r="AB57" s="5">
        <f>SUM(Z35:AB35)</f>
        <v>0</v>
      </c>
      <c r="AE57" s="5">
        <f>SUM(AC35:AE35)</f>
        <v>6</v>
      </c>
      <c r="AI57" s="5">
        <f>SUM(AG35:AI35)</f>
        <v>4</v>
      </c>
      <c r="AL57" s="5">
        <f>SUM(AJ35:AL35)</f>
        <v>1</v>
      </c>
      <c r="AO57" s="5">
        <f>SUM(AM35:AO35)</f>
        <v>0</v>
      </c>
      <c r="AR57" s="5">
        <f>SUM(AP35:AR35)</f>
        <v>0</v>
      </c>
      <c r="AV57" s="5">
        <f>SUM(AT35:AV35)</f>
        <v>7</v>
      </c>
      <c r="AY57" s="5">
        <f>SUM(AW35:AY35)</f>
        <v>0</v>
      </c>
      <c r="BB57" s="5">
        <f>SUM(AZ35:BB35)</f>
        <v>0</v>
      </c>
      <c r="BE57" s="5">
        <f>SUM(BC35:BE35)</f>
        <v>0</v>
      </c>
      <c r="BI57" s="5">
        <f>SUM(BG35:BI35)</f>
        <v>5</v>
      </c>
      <c r="BL57" s="5">
        <f>SUM(BJ35:BL35)</f>
        <v>0</v>
      </c>
      <c r="BO57" s="5">
        <f>SUM(BM35:BO35)</f>
        <v>0</v>
      </c>
      <c r="BR57" s="5">
        <f>SUM(BP35:BR35)</f>
        <v>0</v>
      </c>
    </row>
    <row r="58" spans="1:71" x14ac:dyDescent="0.2">
      <c r="A58" s="6" t="s">
        <v>18</v>
      </c>
      <c r="I58" s="5">
        <f>SUM(G37:I37)</f>
        <v>0</v>
      </c>
      <c r="L58" s="5">
        <f>SUM(J37:L37)</f>
        <v>5</v>
      </c>
      <c r="O58" s="5">
        <f>SUM(M37:O37)</f>
        <v>5</v>
      </c>
      <c r="R58" s="5">
        <f>SUM(P37:R37)</f>
        <v>22</v>
      </c>
      <c r="V58" s="5">
        <f>SUM(T37:V37)</f>
        <v>0</v>
      </c>
      <c r="Y58" s="5">
        <f>SUM(W37:Y37)</f>
        <v>2</v>
      </c>
      <c r="AB58" s="5">
        <f>SUM(Z37:AB37)</f>
        <v>8</v>
      </c>
      <c r="AE58" s="5">
        <f>SUM(AC37:AE37)</f>
        <v>10</v>
      </c>
      <c r="AI58" s="5">
        <f>SUM(AG37:AI37)</f>
        <v>0</v>
      </c>
      <c r="AL58" s="5">
        <f>SUM(AJ37:AL37)</f>
        <v>0</v>
      </c>
      <c r="AO58" s="5">
        <f>SUM(AM37:AO37)</f>
        <v>0</v>
      </c>
      <c r="AR58" s="5">
        <f>SUM(AP37:AR37)</f>
        <v>4</v>
      </c>
      <c r="AV58" s="5">
        <f>SUM(AT37:AV37)</f>
        <v>0</v>
      </c>
      <c r="AY58" s="5">
        <f>SUM(AW37:AY37)</f>
        <v>0</v>
      </c>
      <c r="BB58" s="5">
        <f>SUM(AZ37:BB37)</f>
        <v>6</v>
      </c>
      <c r="BE58" s="5">
        <f>SUM(BC37:BE37)</f>
        <v>2</v>
      </c>
      <c r="BI58" s="5">
        <f>SUM(BG37:BI37)</f>
        <v>0</v>
      </c>
      <c r="BL58" s="5">
        <f>SUM(BJ37:BL37)</f>
        <v>0</v>
      </c>
      <c r="BO58" s="5">
        <f>SUM(BM37:BO37)</f>
        <v>0</v>
      </c>
      <c r="BR58" s="5">
        <f>SUM(BP37:BR37)</f>
        <v>3</v>
      </c>
    </row>
    <row r="59" spans="1:71" x14ac:dyDescent="0.2">
      <c r="A59" s="6" t="s">
        <v>12</v>
      </c>
      <c r="I59" s="5">
        <f>SUM(G39:I39)</f>
        <v>2</v>
      </c>
      <c r="L59" s="5">
        <f>SUM(J39:L39)</f>
        <v>3</v>
      </c>
      <c r="O59" s="5">
        <f>SUM(M39:O39)</f>
        <v>4</v>
      </c>
      <c r="R59" s="5">
        <f>SUM(P39:R39)</f>
        <v>7</v>
      </c>
      <c r="V59" s="5">
        <f>SUM(T39:V39)</f>
        <v>7</v>
      </c>
      <c r="Y59" s="5">
        <f>SUM(W39:Y39)</f>
        <v>7</v>
      </c>
      <c r="AB59" s="5">
        <f>SUM(Z39:AB39)</f>
        <v>7</v>
      </c>
      <c r="AE59" s="5">
        <f>SUM(AC39:AE39)</f>
        <v>4</v>
      </c>
      <c r="AI59" s="5">
        <f>SUM(AG39:AI39)</f>
        <v>0</v>
      </c>
      <c r="AL59" s="5">
        <f>SUM(AJ39:AL39)</f>
        <v>10</v>
      </c>
      <c r="AO59" s="5">
        <f>SUM(AM39:AO39)</f>
        <v>5</v>
      </c>
      <c r="AR59" s="5">
        <f>SUM(AP39:AR39)</f>
        <v>7</v>
      </c>
      <c r="AV59" s="5">
        <f>SUM(AT39:AV39)</f>
        <v>2</v>
      </c>
      <c r="AY59" s="5">
        <f>SUM(AW39:AY39)</f>
        <v>8</v>
      </c>
      <c r="BB59" s="5">
        <f>SUM(AZ39:BB39)</f>
        <v>6</v>
      </c>
      <c r="BE59" s="5">
        <f>SUM(BC39:BE39)</f>
        <v>0</v>
      </c>
      <c r="BI59" s="5">
        <f>SUM(BG39:BI39)</f>
        <v>0</v>
      </c>
      <c r="BL59" s="5">
        <f>SUM(BJ39:BL39)</f>
        <v>8</v>
      </c>
      <c r="BO59" s="5">
        <f>SUM(BM39:BO39)</f>
        <v>8</v>
      </c>
      <c r="BR59" s="5">
        <f>SUM(BP39:BR39)</f>
        <v>5</v>
      </c>
    </row>
    <row r="60" spans="1:71" x14ac:dyDescent="0.2">
      <c r="A60" s="6" t="s">
        <v>19</v>
      </c>
      <c r="I60" s="5">
        <f>SUM(G41:I41)</f>
        <v>45</v>
      </c>
      <c r="L60" s="5">
        <f>SUM(J41:L41)</f>
        <v>45</v>
      </c>
      <c r="O60" s="5">
        <f>SUM(M41:O41)</f>
        <v>10</v>
      </c>
      <c r="R60" s="5">
        <f>SUM(P41:R41)</f>
        <v>45</v>
      </c>
      <c r="V60" s="5">
        <f>SUM(T41:V41)</f>
        <v>38</v>
      </c>
      <c r="Y60" s="5">
        <f>SUM(W41:Y41)</f>
        <v>51</v>
      </c>
      <c r="AB60" s="5">
        <f>SUM(Z41:AB41)</f>
        <v>22</v>
      </c>
      <c r="AE60" s="5">
        <f>SUM(AC41:AE41)</f>
        <v>47</v>
      </c>
      <c r="AI60" s="5">
        <f>SUM(AG41:AI41)</f>
        <v>12</v>
      </c>
      <c r="AL60" s="5">
        <f>SUM(AJ41:AL41)</f>
        <v>15</v>
      </c>
      <c r="AO60" s="5">
        <f>SUM(AM41:AO41)</f>
        <v>12</v>
      </c>
      <c r="AR60" s="5">
        <f>SUM(AP41:AR41)</f>
        <v>14</v>
      </c>
      <c r="AV60" s="5">
        <f>SUM(AT41:AV41)</f>
        <v>1</v>
      </c>
      <c r="AY60" s="5">
        <f>SUM(AW41:AY41)</f>
        <v>1</v>
      </c>
      <c r="BB60" s="5">
        <f>SUM(AZ41:BB41)</f>
        <v>10</v>
      </c>
      <c r="BE60" s="5">
        <f>SUM(BC41:BE41)</f>
        <v>2</v>
      </c>
      <c r="BI60" s="5">
        <f>SUM(BG41:BI41)</f>
        <v>8</v>
      </c>
      <c r="BL60" s="5">
        <f>SUM(BJ41:BL41)</f>
        <v>13</v>
      </c>
      <c r="BO60" s="5">
        <f>SUM(BM41:BO41)</f>
        <v>2</v>
      </c>
      <c r="BR60" s="5">
        <f>SUM(BP41:BR41)</f>
        <v>8</v>
      </c>
    </row>
    <row r="62" spans="1:71" ht="15" x14ac:dyDescent="0.25">
      <c r="A62" s="8" t="s">
        <v>66</v>
      </c>
      <c r="B62" s="8">
        <f>SUM(B54:B60)</f>
        <v>0</v>
      </c>
      <c r="C62" s="8">
        <f>SUM(C54:C60)</f>
        <v>0</v>
      </c>
      <c r="D62" s="8">
        <f>SUM(D54:D60)</f>
        <v>0</v>
      </c>
      <c r="E62" s="8">
        <f>SUM(E54:E60)</f>
        <v>0</v>
      </c>
      <c r="F62" s="8">
        <f>SUM(F54:F60)</f>
        <v>0</v>
      </c>
      <c r="G62" s="8">
        <f>SUM(G54:G60)</f>
        <v>0</v>
      </c>
      <c r="H62" s="8">
        <f>SUM(H54:H60)</f>
        <v>0</v>
      </c>
      <c r="I62" s="8">
        <f>SUM(I54:I60)</f>
        <v>181</v>
      </c>
      <c r="J62" s="8">
        <f>SUM(J54:J60)</f>
        <v>0</v>
      </c>
      <c r="K62" s="8">
        <f>SUM(K54:K60)</f>
        <v>0</v>
      </c>
      <c r="L62" s="8">
        <f>SUM(L54:L60)</f>
        <v>181</v>
      </c>
      <c r="M62" s="8">
        <f>SUM(M54:M60)</f>
        <v>0</v>
      </c>
      <c r="N62" s="8">
        <f>SUM(N54:N60)</f>
        <v>0</v>
      </c>
      <c r="O62" s="8">
        <f>SUM(O54:O60)</f>
        <v>160</v>
      </c>
      <c r="P62" s="8">
        <f>SUM(P54:P60)</f>
        <v>0</v>
      </c>
      <c r="Q62" s="8">
        <f>SUM(Q54:Q60)</f>
        <v>0</v>
      </c>
      <c r="R62" s="8">
        <f>SUM(R54:R60)</f>
        <v>283</v>
      </c>
      <c r="S62" s="8">
        <f>SUM(S54:S60)</f>
        <v>0</v>
      </c>
      <c r="T62" s="8">
        <f>SUM(T54:T60)</f>
        <v>0</v>
      </c>
      <c r="U62" s="8">
        <f>SUM(U54:U60)</f>
        <v>0</v>
      </c>
      <c r="V62" s="8">
        <f>SUM(V54:V60)</f>
        <v>96</v>
      </c>
      <c r="W62" s="8">
        <f>SUM(W54:W60)</f>
        <v>0</v>
      </c>
      <c r="X62" s="8">
        <f>SUM(X54:X60)</f>
        <v>0</v>
      </c>
      <c r="Y62" s="8">
        <f>SUM(Y54:Y60)</f>
        <v>76</v>
      </c>
      <c r="Z62" s="8">
        <f>SUM(Z54:Z60)</f>
        <v>0</v>
      </c>
      <c r="AA62" s="8">
        <f>SUM(AA54:AA60)</f>
        <v>0</v>
      </c>
      <c r="AB62" s="8">
        <f>SUM(AB54:AB60)</f>
        <v>96</v>
      </c>
      <c r="AC62" s="8">
        <f>SUM(AC54:AC60)</f>
        <v>0</v>
      </c>
      <c r="AD62" s="8">
        <f>SUM(AD54:AD60)</f>
        <v>0</v>
      </c>
      <c r="AE62" s="8">
        <f>SUM(AE54:AE60)</f>
        <v>111</v>
      </c>
      <c r="AF62" s="8">
        <f>SUM(AF54:AF60)</f>
        <v>0</v>
      </c>
      <c r="AG62" s="8">
        <f>SUM(AG54:AG60)</f>
        <v>0</v>
      </c>
      <c r="AH62" s="8">
        <f>SUM(AH54:AH60)</f>
        <v>0</v>
      </c>
      <c r="AI62" s="8">
        <f>SUM(AI54:AI60)</f>
        <v>42</v>
      </c>
      <c r="AJ62" s="8">
        <f>SUM(AJ54:AJ60)</f>
        <v>0</v>
      </c>
      <c r="AK62" s="8">
        <f>SUM(AK54:AK60)</f>
        <v>0</v>
      </c>
      <c r="AL62" s="8">
        <f>SUM(AL54:AL60)</f>
        <v>42</v>
      </c>
      <c r="AM62" s="8">
        <f>SUM(AM54:AM60)</f>
        <v>0</v>
      </c>
      <c r="AN62" s="8">
        <f>SUM(AN54:AN60)</f>
        <v>0</v>
      </c>
      <c r="AO62" s="8">
        <f>SUM(AO54:AO60)</f>
        <v>41</v>
      </c>
      <c r="AP62" s="8">
        <f>SUM(AP54:AP60)</f>
        <v>0</v>
      </c>
      <c r="AQ62" s="8">
        <f>SUM(AQ54:AQ60)</f>
        <v>0</v>
      </c>
      <c r="AR62" s="8">
        <f>SUM(AR54:AR60)</f>
        <v>32</v>
      </c>
      <c r="AS62" s="8">
        <f>SUM(AS54:AS60)</f>
        <v>0</v>
      </c>
      <c r="AT62" s="8">
        <f>SUM(AT54:AT60)</f>
        <v>0</v>
      </c>
      <c r="AU62" s="8">
        <f>SUM(AU54:AU60)</f>
        <v>0</v>
      </c>
      <c r="AV62" s="8">
        <f>SUM(AV54:AV60)</f>
        <v>83</v>
      </c>
      <c r="AW62" s="8">
        <f>SUM(AW54:AW60)</f>
        <v>0</v>
      </c>
      <c r="AX62" s="8">
        <f>SUM(AX54:AX60)</f>
        <v>0</v>
      </c>
      <c r="AY62" s="8">
        <f>SUM(AY54:AY60)</f>
        <v>62</v>
      </c>
      <c r="AZ62" s="8">
        <f>SUM(AZ54:AZ60)</f>
        <v>0</v>
      </c>
      <c r="BA62" s="8">
        <f>SUM(BA54:BA60)</f>
        <v>0</v>
      </c>
      <c r="BB62" s="8">
        <f>SUM(BB54:BB60)</f>
        <v>83</v>
      </c>
      <c r="BC62" s="8">
        <f>SUM(BC54:BC60)</f>
        <v>0</v>
      </c>
      <c r="BD62" s="8">
        <f>SUM(BD54:BD60)</f>
        <v>0</v>
      </c>
      <c r="BE62" s="8">
        <f>SUM(BE54:BE60)</f>
        <v>110</v>
      </c>
      <c r="BF62" s="8">
        <f>SUM(BF54:BF60)</f>
        <v>0</v>
      </c>
      <c r="BG62" s="8">
        <f>SUM(BG54:BG60)</f>
        <v>0</v>
      </c>
      <c r="BH62" s="8">
        <f>SUM(BH54:BH60)</f>
        <v>0</v>
      </c>
      <c r="BI62" s="8">
        <f>SUM(BI54:BI60)</f>
        <v>133</v>
      </c>
      <c r="BJ62" s="8">
        <f>SUM(BJ54:BJ60)</f>
        <v>0</v>
      </c>
      <c r="BK62" s="8">
        <f>SUM(BK54:BK60)</f>
        <v>0</v>
      </c>
      <c r="BL62" s="8">
        <f>SUM(BL54:BL60)</f>
        <v>117</v>
      </c>
      <c r="BM62" s="8">
        <f>SUM(BM54:BM60)</f>
        <v>0</v>
      </c>
      <c r="BN62" s="8">
        <f>SUM(BN54:BN60)</f>
        <v>0</v>
      </c>
      <c r="BO62" s="8">
        <f>SUM(BO54:BO60)</f>
        <v>105</v>
      </c>
      <c r="BP62" s="8">
        <f>SUM(BP54:BP60)</f>
        <v>0</v>
      </c>
      <c r="BQ62" s="8">
        <f>SUM(BQ54:BQ60)</f>
        <v>0</v>
      </c>
      <c r="BR62" s="8">
        <f>SUM(BR54:BR60)</f>
        <v>124</v>
      </c>
      <c r="BS62" s="8">
        <f>SUM(BS54:BS60)</f>
        <v>0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3422D-8F4E-4225-B4C7-337E33FED73B}">
  <sheetPr>
    <tabColor theme="6" tint="-0.249977111117893"/>
  </sheetPr>
  <dimension ref="B6:I8"/>
  <sheetViews>
    <sheetView workbookViewId="0">
      <selection activeCell="O31" sqref="O31"/>
    </sheetView>
  </sheetViews>
  <sheetFormatPr defaultRowHeight="12.75" x14ac:dyDescent="0.2"/>
  <sheetData>
    <row r="6" spans="2:9" x14ac:dyDescent="0.2">
      <c r="C6">
        <v>2021</v>
      </c>
      <c r="D6" t="s">
        <v>160</v>
      </c>
      <c r="E6" t="s">
        <v>159</v>
      </c>
      <c r="F6">
        <v>2022</v>
      </c>
      <c r="G6">
        <v>2023</v>
      </c>
      <c r="H6">
        <v>2024</v>
      </c>
      <c r="I6">
        <v>2025</v>
      </c>
    </row>
    <row r="7" spans="2:9" x14ac:dyDescent="0.2">
      <c r="B7" t="s">
        <v>157</v>
      </c>
      <c r="C7">
        <v>142</v>
      </c>
      <c r="D7">
        <v>52</v>
      </c>
      <c r="E7">
        <v>53</v>
      </c>
      <c r="F7">
        <v>141</v>
      </c>
      <c r="G7">
        <f>MEDIAN(147,153)</f>
        <v>150</v>
      </c>
      <c r="H7">
        <f>MEDIAN(147,153)</f>
        <v>150</v>
      </c>
      <c r="I7">
        <v>156</v>
      </c>
    </row>
    <row r="8" spans="2:9" x14ac:dyDescent="0.2">
      <c r="B8" t="s">
        <v>158</v>
      </c>
      <c r="C8">
        <v>154</v>
      </c>
      <c r="F8">
        <v>154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36F73-CC85-44E2-8873-B867201DB4C5}">
  <sheetPr>
    <tabColor theme="6" tint="-0.249977111117893"/>
  </sheetPr>
  <dimension ref="A1"/>
  <sheetViews>
    <sheetView workbookViewId="0">
      <selection activeCell="A47" sqref="A47:A48"/>
    </sheetView>
  </sheetViews>
  <sheetFormatPr defaultRowHeight="12.75" x14ac:dyDescent="0.2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08F55-F70B-40E0-9014-878940C3D512}">
  <sheetPr>
    <tabColor theme="6" tint="-0.249977111117893"/>
  </sheetPr>
  <dimension ref="A1:C41"/>
  <sheetViews>
    <sheetView zoomScale="115" zoomScaleNormal="115" workbookViewId="0">
      <selection activeCell="B30" sqref="B30"/>
    </sheetView>
  </sheetViews>
  <sheetFormatPr defaultRowHeight="15" x14ac:dyDescent="0.25"/>
  <cols>
    <col min="1" max="1" width="50.7109375" style="39" customWidth="1"/>
    <col min="2" max="3" width="15.7109375" style="39" customWidth="1"/>
    <col min="4" max="16384" width="9.140625" style="39"/>
  </cols>
  <sheetData>
    <row r="1" spans="1:3" x14ac:dyDescent="0.25">
      <c r="A1" s="44"/>
      <c r="B1" s="48" t="s">
        <v>313</v>
      </c>
      <c r="C1" s="48"/>
    </row>
    <row r="2" spans="1:3" x14ac:dyDescent="0.25">
      <c r="A2" s="44"/>
      <c r="B2" s="46">
        <v>2022</v>
      </c>
      <c r="C2" s="46">
        <v>2021</v>
      </c>
    </row>
    <row r="3" spans="1:3" x14ac:dyDescent="0.25">
      <c r="A3" s="42" t="s">
        <v>312</v>
      </c>
      <c r="B3" s="45"/>
      <c r="C3" s="45"/>
    </row>
    <row r="4" spans="1:3" x14ac:dyDescent="0.25">
      <c r="A4" s="44" t="s">
        <v>271</v>
      </c>
      <c r="B4" s="41">
        <v>29606</v>
      </c>
      <c r="C4" s="41">
        <v>30305</v>
      </c>
    </row>
    <row r="5" spans="1:3" x14ac:dyDescent="0.25">
      <c r="A5" s="44" t="s">
        <v>311</v>
      </c>
      <c r="B5" s="45"/>
      <c r="C5" s="45"/>
    </row>
    <row r="6" spans="1:3" x14ac:dyDescent="0.25">
      <c r="A6" s="44" t="s">
        <v>206</v>
      </c>
      <c r="B6" s="43">
        <v>29304</v>
      </c>
      <c r="C6" s="43">
        <v>30721</v>
      </c>
    </row>
    <row r="7" spans="1:3" x14ac:dyDescent="0.25">
      <c r="A7" s="44" t="s">
        <v>310</v>
      </c>
      <c r="B7" s="43">
        <v>33</v>
      </c>
      <c r="C7" s="43">
        <v>-1538</v>
      </c>
    </row>
    <row r="8" spans="1:3" x14ac:dyDescent="0.25">
      <c r="A8" s="44" t="s">
        <v>210</v>
      </c>
      <c r="B8" s="43">
        <v>11316</v>
      </c>
      <c r="C8" s="43">
        <v>11892</v>
      </c>
    </row>
    <row r="9" spans="1:3" x14ac:dyDescent="0.25">
      <c r="A9" s="44" t="s">
        <v>309</v>
      </c>
      <c r="B9" s="45"/>
      <c r="C9" s="45"/>
    </row>
    <row r="10" spans="1:3" x14ac:dyDescent="0.25">
      <c r="A10" s="44" t="s">
        <v>308</v>
      </c>
      <c r="B10" s="43">
        <v>31318</v>
      </c>
      <c r="C10" s="43">
        <v>55907</v>
      </c>
    </row>
    <row r="11" spans="1:3" x14ac:dyDescent="0.25">
      <c r="A11" s="44" t="s">
        <v>307</v>
      </c>
      <c r="B11" s="43">
        <v>-12226</v>
      </c>
      <c r="C11" s="43">
        <v>-37067</v>
      </c>
    </row>
    <row r="12" spans="1:3" x14ac:dyDescent="0.25">
      <c r="A12" s="44" t="s">
        <v>306</v>
      </c>
      <c r="B12" s="43">
        <v>-496</v>
      </c>
      <c r="C12" s="43">
        <v>-4782</v>
      </c>
    </row>
    <row r="13" spans="1:3" x14ac:dyDescent="0.25">
      <c r="A13" s="44" t="s">
        <v>22</v>
      </c>
      <c r="B13" s="43">
        <v>-50559</v>
      </c>
      <c r="C13" s="43">
        <v>-32890</v>
      </c>
    </row>
    <row r="14" spans="1:3" x14ac:dyDescent="0.25">
      <c r="A14" s="44" t="s">
        <v>305</v>
      </c>
      <c r="B14" s="43">
        <v>-30412</v>
      </c>
      <c r="C14" s="43">
        <v>-32142</v>
      </c>
    </row>
    <row r="15" spans="1:3" x14ac:dyDescent="0.25">
      <c r="A15" s="44" t="s">
        <v>304</v>
      </c>
      <c r="B15" s="43">
        <v>2065</v>
      </c>
      <c r="C15" s="43">
        <v>4029</v>
      </c>
    </row>
    <row r="16" spans="1:3" x14ac:dyDescent="0.25">
      <c r="A16" s="44" t="s">
        <v>303</v>
      </c>
      <c r="B16" s="43">
        <v>890</v>
      </c>
      <c r="C16" s="43">
        <v>8813</v>
      </c>
    </row>
    <row r="17" spans="1:3" x14ac:dyDescent="0.25">
      <c r="A17" s="44" t="s">
        <v>302</v>
      </c>
      <c r="B17" s="43">
        <v>-664</v>
      </c>
      <c r="C17" s="43">
        <v>-1163</v>
      </c>
    </row>
    <row r="18" spans="1:3" x14ac:dyDescent="0.25">
      <c r="A18" s="44" t="s">
        <v>233</v>
      </c>
      <c r="B18" s="43">
        <v>-4773</v>
      </c>
      <c r="C18" s="43">
        <v>7205</v>
      </c>
    </row>
    <row r="19" spans="1:3" x14ac:dyDescent="0.25">
      <c r="A19" s="42" t="s">
        <v>301</v>
      </c>
      <c r="B19" s="43">
        <v>5402</v>
      </c>
      <c r="C19" s="43">
        <v>39290</v>
      </c>
    </row>
    <row r="20" spans="1:3" x14ac:dyDescent="0.25">
      <c r="A20" s="44"/>
      <c r="B20" s="45"/>
      <c r="C20" s="45"/>
    </row>
    <row r="21" spans="1:3" x14ac:dyDescent="0.25">
      <c r="A21" s="42" t="s">
        <v>300</v>
      </c>
      <c r="B21" s="45"/>
      <c r="C21" s="45"/>
    </row>
    <row r="22" spans="1:3" x14ac:dyDescent="0.25">
      <c r="A22" s="44" t="s">
        <v>299</v>
      </c>
      <c r="B22" s="43">
        <v>-24390</v>
      </c>
      <c r="C22" s="43">
        <v>-13123</v>
      </c>
    </row>
    <row r="23" spans="1:3" x14ac:dyDescent="0.25">
      <c r="A23" s="44" t="s">
        <v>152</v>
      </c>
      <c r="B23" s="43">
        <v>30</v>
      </c>
      <c r="C23" s="43">
        <v>1</v>
      </c>
    </row>
    <row r="24" spans="1:3" x14ac:dyDescent="0.25">
      <c r="A24" s="44" t="s">
        <v>298</v>
      </c>
      <c r="B24" s="43">
        <v>878</v>
      </c>
      <c r="C24" s="43">
        <v>0</v>
      </c>
    </row>
    <row r="25" spans="1:3" x14ac:dyDescent="0.25">
      <c r="A25" s="44" t="s">
        <v>297</v>
      </c>
      <c r="B25" s="43">
        <v>7</v>
      </c>
      <c r="C25" s="43">
        <v>7</v>
      </c>
    </row>
    <row r="26" spans="1:3" x14ac:dyDescent="0.25">
      <c r="A26" s="42" t="s">
        <v>296</v>
      </c>
      <c r="B26" s="43">
        <v>-23475</v>
      </c>
      <c r="C26" s="43">
        <v>-13115</v>
      </c>
    </row>
    <row r="27" spans="1:3" x14ac:dyDescent="0.25">
      <c r="A27" s="44"/>
      <c r="B27" s="45"/>
      <c r="C27" s="45"/>
    </row>
    <row r="28" spans="1:3" x14ac:dyDescent="0.25">
      <c r="A28" s="42" t="s">
        <v>295</v>
      </c>
      <c r="B28" s="45"/>
      <c r="C28" s="45"/>
    </row>
    <row r="29" spans="1:3" x14ac:dyDescent="0.25">
      <c r="A29" s="44" t="s">
        <v>294</v>
      </c>
      <c r="B29" s="43">
        <v>-11355</v>
      </c>
      <c r="C29" s="43">
        <v>-10247</v>
      </c>
    </row>
    <row r="30" spans="1:3" x14ac:dyDescent="0.25">
      <c r="A30" s="44" t="s">
        <v>293</v>
      </c>
      <c r="B30" s="43">
        <v>1199</v>
      </c>
      <c r="C30" s="43">
        <v>3198</v>
      </c>
    </row>
    <row r="31" spans="1:3" x14ac:dyDescent="0.25">
      <c r="A31" s="44" t="s">
        <v>292</v>
      </c>
      <c r="B31" s="43">
        <v>-26369</v>
      </c>
      <c r="C31" s="43">
        <v>-39258</v>
      </c>
    </row>
    <row r="32" spans="1:3" x14ac:dyDescent="0.25">
      <c r="A32" s="44" t="s">
        <v>291</v>
      </c>
      <c r="B32" s="43">
        <v>413700</v>
      </c>
      <c r="C32" s="43">
        <v>0</v>
      </c>
    </row>
    <row r="33" spans="1:3" x14ac:dyDescent="0.25">
      <c r="A33" s="44" t="s">
        <v>290</v>
      </c>
      <c r="B33" s="43">
        <v>-371200</v>
      </c>
      <c r="C33" s="43">
        <v>0</v>
      </c>
    </row>
    <row r="34" spans="1:3" x14ac:dyDescent="0.25">
      <c r="A34" s="44" t="s">
        <v>289</v>
      </c>
      <c r="B34" s="43">
        <v>-98</v>
      </c>
      <c r="C34" s="43">
        <v>-381</v>
      </c>
    </row>
    <row r="35" spans="1:3" x14ac:dyDescent="0.25">
      <c r="A35" s="42" t="s">
        <v>288</v>
      </c>
      <c r="B35" s="43">
        <v>5877</v>
      </c>
      <c r="C35" s="43">
        <v>-46688</v>
      </c>
    </row>
    <row r="36" spans="1:3" x14ac:dyDescent="0.25">
      <c r="A36" s="44" t="s">
        <v>287</v>
      </c>
      <c r="B36" s="43">
        <v>3687</v>
      </c>
      <c r="C36" s="43">
        <v>-967</v>
      </c>
    </row>
    <row r="37" spans="1:3" x14ac:dyDescent="0.25">
      <c r="A37" s="42" t="s">
        <v>286</v>
      </c>
      <c r="B37" s="43">
        <v>-8509</v>
      </c>
      <c r="C37" s="43">
        <v>-21480</v>
      </c>
    </row>
    <row r="38" spans="1:3" x14ac:dyDescent="0.25">
      <c r="A38" s="44" t="s">
        <v>285</v>
      </c>
      <c r="B38" s="43">
        <v>107844</v>
      </c>
      <c r="C38" s="43">
        <v>448462</v>
      </c>
    </row>
    <row r="39" spans="1:3" x14ac:dyDescent="0.25">
      <c r="A39" s="44" t="s">
        <v>284</v>
      </c>
      <c r="B39" s="41">
        <v>99335</v>
      </c>
      <c r="C39" s="41">
        <v>426982</v>
      </c>
    </row>
    <row r="41" spans="1:3" x14ac:dyDescent="0.25">
      <c r="A41" s="40" t="s">
        <v>238</v>
      </c>
    </row>
  </sheetData>
  <hyperlinks>
    <hyperlink ref="A41" r:id="rId1" xr:uid="{F6555788-762B-4040-BAF2-F9A826CBE7E2}"/>
  </hyperlink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378F3-B071-4562-87A8-71E7F0BF7B6F}">
  <sheetPr>
    <tabColor theme="6" tint="-0.249977111117893"/>
  </sheetPr>
  <dimension ref="A1:C43"/>
  <sheetViews>
    <sheetView workbookViewId="0">
      <selection activeCell="A47" sqref="A47:A48"/>
    </sheetView>
  </sheetViews>
  <sheetFormatPr defaultRowHeight="15" x14ac:dyDescent="0.25"/>
  <cols>
    <col min="1" max="1" width="50.7109375" style="39" customWidth="1"/>
    <col min="2" max="3" width="15.7109375" style="39" customWidth="1"/>
    <col min="4" max="16384" width="9.140625" style="39"/>
  </cols>
  <sheetData>
    <row r="1" spans="1:3" x14ac:dyDescent="0.25">
      <c r="A1" s="44"/>
      <c r="B1" s="48" t="s">
        <v>313</v>
      </c>
      <c r="C1" s="48"/>
    </row>
    <row r="2" spans="1:3" x14ac:dyDescent="0.25">
      <c r="A2" s="44"/>
      <c r="B2" s="46">
        <v>2019</v>
      </c>
      <c r="C2" s="46">
        <v>2018</v>
      </c>
    </row>
    <row r="3" spans="1:3" x14ac:dyDescent="0.25">
      <c r="A3" s="44"/>
      <c r="B3" s="45"/>
      <c r="C3" s="45"/>
    </row>
    <row r="4" spans="1:3" x14ac:dyDescent="0.25">
      <c r="A4" s="42" t="s">
        <v>312</v>
      </c>
      <c r="B4" s="45"/>
      <c r="C4" s="45"/>
    </row>
    <row r="5" spans="1:3" x14ac:dyDescent="0.25">
      <c r="A5" s="44" t="s">
        <v>271</v>
      </c>
      <c r="B5" s="41">
        <v>53373</v>
      </c>
      <c r="C5" s="41">
        <v>49120</v>
      </c>
    </row>
    <row r="6" spans="1:3" x14ac:dyDescent="0.25">
      <c r="A6" s="44" t="s">
        <v>311</v>
      </c>
      <c r="B6" s="45"/>
      <c r="C6" s="45"/>
    </row>
    <row r="7" spans="1:3" x14ac:dyDescent="0.25">
      <c r="A7" s="44" t="s">
        <v>206</v>
      </c>
      <c r="B7" s="43">
        <v>32451</v>
      </c>
      <c r="C7" s="43">
        <v>38642</v>
      </c>
    </row>
    <row r="8" spans="1:3" x14ac:dyDescent="0.25">
      <c r="A8" s="44" t="s">
        <v>317</v>
      </c>
      <c r="B8" s="43">
        <v>37902</v>
      </c>
      <c r="C8" s="43">
        <v>0</v>
      </c>
    </row>
    <row r="9" spans="1:3" x14ac:dyDescent="0.25">
      <c r="A9" s="44" t="s">
        <v>316</v>
      </c>
      <c r="B9" s="43">
        <v>-13547</v>
      </c>
      <c r="C9" s="43">
        <v>79</v>
      </c>
    </row>
    <row r="10" spans="1:3" x14ac:dyDescent="0.25">
      <c r="A10" s="44" t="s">
        <v>210</v>
      </c>
      <c r="B10" s="43">
        <v>10982</v>
      </c>
      <c r="C10" s="43">
        <v>10851</v>
      </c>
    </row>
    <row r="11" spans="1:3" x14ac:dyDescent="0.25">
      <c r="A11" s="44" t="s">
        <v>189</v>
      </c>
      <c r="B11" s="43">
        <v>-47</v>
      </c>
      <c r="C11" s="43">
        <v>-4181</v>
      </c>
    </row>
    <row r="12" spans="1:3" x14ac:dyDescent="0.25">
      <c r="A12" s="44" t="s">
        <v>309</v>
      </c>
      <c r="B12" s="45"/>
      <c r="C12" s="45"/>
    </row>
    <row r="13" spans="1:3" x14ac:dyDescent="0.25">
      <c r="A13" s="44" t="s">
        <v>308</v>
      </c>
      <c r="B13" s="43">
        <v>37652</v>
      </c>
      <c r="C13" s="43">
        <v>52851</v>
      </c>
    </row>
    <row r="14" spans="1:3" x14ac:dyDescent="0.25">
      <c r="A14" s="44" t="s">
        <v>307</v>
      </c>
      <c r="B14" s="43">
        <v>-33150</v>
      </c>
      <c r="C14" s="43">
        <v>-4705</v>
      </c>
    </row>
    <row r="15" spans="1:3" x14ac:dyDescent="0.25">
      <c r="A15" s="44" t="s">
        <v>306</v>
      </c>
      <c r="B15" s="43">
        <v>-6401</v>
      </c>
      <c r="C15" s="43">
        <v>-7293</v>
      </c>
    </row>
    <row r="16" spans="1:3" x14ac:dyDescent="0.25">
      <c r="A16" s="44" t="s">
        <v>22</v>
      </c>
      <c r="B16" s="43">
        <v>-17065</v>
      </c>
      <c r="C16" s="43">
        <v>-32393</v>
      </c>
    </row>
    <row r="17" spans="1:3" x14ac:dyDescent="0.25">
      <c r="A17" s="44" t="s">
        <v>305</v>
      </c>
      <c r="B17" s="43">
        <v>-79535</v>
      </c>
      <c r="C17" s="43">
        <v>-38145</v>
      </c>
    </row>
    <row r="18" spans="1:3" x14ac:dyDescent="0.25">
      <c r="A18" s="44" t="s">
        <v>304</v>
      </c>
      <c r="B18" s="43">
        <v>-144</v>
      </c>
      <c r="C18" s="43">
        <v>10050</v>
      </c>
    </row>
    <row r="19" spans="1:3" x14ac:dyDescent="0.25">
      <c r="A19" s="44" t="s">
        <v>303</v>
      </c>
      <c r="B19" s="43">
        <v>1001</v>
      </c>
      <c r="C19" s="43">
        <v>8581</v>
      </c>
    </row>
    <row r="20" spans="1:3" x14ac:dyDescent="0.25">
      <c r="A20" s="44" t="s">
        <v>302</v>
      </c>
      <c r="B20" s="43">
        <v>-1490</v>
      </c>
      <c r="C20" s="43">
        <v>-926</v>
      </c>
    </row>
    <row r="21" spans="1:3" x14ac:dyDescent="0.25">
      <c r="A21" s="44" t="s">
        <v>233</v>
      </c>
      <c r="B21" s="43">
        <v>5463</v>
      </c>
      <c r="C21" s="43">
        <v>2181</v>
      </c>
    </row>
    <row r="22" spans="1:3" x14ac:dyDescent="0.25">
      <c r="A22" s="42" t="s">
        <v>301</v>
      </c>
      <c r="B22" s="43">
        <v>27445</v>
      </c>
      <c r="C22" s="43">
        <v>84712</v>
      </c>
    </row>
    <row r="23" spans="1:3" x14ac:dyDescent="0.25">
      <c r="A23" s="44"/>
      <c r="B23" s="45"/>
      <c r="C23" s="45"/>
    </row>
    <row r="24" spans="1:3" x14ac:dyDescent="0.25">
      <c r="A24" s="42" t="s">
        <v>300</v>
      </c>
      <c r="B24" s="45"/>
      <c r="C24" s="45"/>
    </row>
    <row r="25" spans="1:3" x14ac:dyDescent="0.25">
      <c r="A25" s="44" t="s">
        <v>299</v>
      </c>
      <c r="B25" s="43">
        <v>-17232</v>
      </c>
      <c r="C25" s="43">
        <v>-31346</v>
      </c>
    </row>
    <row r="26" spans="1:3" x14ac:dyDescent="0.25">
      <c r="A26" s="44" t="s">
        <v>152</v>
      </c>
      <c r="B26" s="43">
        <v>18809</v>
      </c>
      <c r="C26" s="43">
        <v>249</v>
      </c>
    </row>
    <row r="27" spans="1:3" x14ac:dyDescent="0.25">
      <c r="A27" s="44" t="s">
        <v>297</v>
      </c>
      <c r="B27" s="43">
        <v>0</v>
      </c>
      <c r="C27" s="43">
        <v>27</v>
      </c>
    </row>
    <row r="28" spans="1:3" x14ac:dyDescent="0.25">
      <c r="A28" s="44" t="s">
        <v>315</v>
      </c>
      <c r="B28" s="43">
        <v>-2</v>
      </c>
      <c r="C28" s="43">
        <v>-947</v>
      </c>
    </row>
    <row r="29" spans="1:3" x14ac:dyDescent="0.25">
      <c r="A29" s="42" t="s">
        <v>314</v>
      </c>
      <c r="B29" s="43">
        <v>1575</v>
      </c>
      <c r="C29" s="43">
        <v>-32017</v>
      </c>
    </row>
    <row r="30" spans="1:3" x14ac:dyDescent="0.25">
      <c r="A30" s="44"/>
      <c r="B30" s="45"/>
      <c r="C30" s="45"/>
    </row>
    <row r="31" spans="1:3" x14ac:dyDescent="0.25">
      <c r="A31" s="42" t="s">
        <v>295</v>
      </c>
      <c r="B31" s="45"/>
      <c r="C31" s="45"/>
    </row>
    <row r="32" spans="1:3" x14ac:dyDescent="0.25">
      <c r="A32" s="44" t="s">
        <v>294</v>
      </c>
      <c r="B32" s="43">
        <v>-10064</v>
      </c>
      <c r="C32" s="43">
        <v>-8808</v>
      </c>
    </row>
    <row r="33" spans="1:3" x14ac:dyDescent="0.25">
      <c r="A33" s="44" t="s">
        <v>293</v>
      </c>
      <c r="B33" s="43">
        <v>7558</v>
      </c>
      <c r="C33" s="43">
        <v>3384</v>
      </c>
    </row>
    <row r="34" spans="1:3" x14ac:dyDescent="0.25">
      <c r="A34" s="44" t="s">
        <v>291</v>
      </c>
      <c r="B34" s="43">
        <v>461633</v>
      </c>
      <c r="C34" s="43">
        <v>542847</v>
      </c>
    </row>
    <row r="35" spans="1:3" x14ac:dyDescent="0.25">
      <c r="A35" s="44" t="s">
        <v>290</v>
      </c>
      <c r="B35" s="43">
        <v>-441500</v>
      </c>
      <c r="C35" s="43">
        <v>-501218</v>
      </c>
    </row>
    <row r="36" spans="1:3" x14ac:dyDescent="0.25">
      <c r="A36" s="44" t="s">
        <v>289</v>
      </c>
      <c r="B36" s="43">
        <v>-439</v>
      </c>
      <c r="C36" s="43">
        <v>-100132</v>
      </c>
    </row>
    <row r="37" spans="1:3" x14ac:dyDescent="0.25">
      <c r="A37" s="42" t="s">
        <v>288</v>
      </c>
      <c r="B37" s="43">
        <v>17188</v>
      </c>
      <c r="C37" s="43">
        <v>-63927</v>
      </c>
    </row>
    <row r="38" spans="1:3" x14ac:dyDescent="0.25">
      <c r="A38" s="44" t="s">
        <v>287</v>
      </c>
      <c r="B38" s="43">
        <v>2727</v>
      </c>
      <c r="C38" s="43">
        <v>-728</v>
      </c>
    </row>
    <row r="39" spans="1:3" x14ac:dyDescent="0.25">
      <c r="A39" s="42" t="s">
        <v>286</v>
      </c>
      <c r="B39" s="43">
        <v>48935</v>
      </c>
      <c r="C39" s="43">
        <v>-11960</v>
      </c>
    </row>
    <row r="40" spans="1:3" x14ac:dyDescent="0.25">
      <c r="A40" s="44" t="s">
        <v>285</v>
      </c>
      <c r="B40" s="43">
        <v>99073</v>
      </c>
      <c r="C40" s="43">
        <v>83594</v>
      </c>
    </row>
    <row r="41" spans="1:3" x14ac:dyDescent="0.25">
      <c r="A41" s="44" t="s">
        <v>284</v>
      </c>
      <c r="B41" s="41">
        <v>148008</v>
      </c>
      <c r="C41" s="41">
        <v>71634</v>
      </c>
    </row>
    <row r="43" spans="1:3" x14ac:dyDescent="0.25">
      <c r="A43" s="40" t="s">
        <v>238</v>
      </c>
    </row>
  </sheetData>
  <hyperlinks>
    <hyperlink ref="A43" r:id="rId1" xr:uid="{C2DDD98B-F5DD-43FB-B57E-58C55DBBD777}"/>
  </hyperlink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58FAF-0B85-48FD-BB05-CBA00682C3E7}">
  <sheetPr>
    <tabColor theme="6" tint="-0.249977111117893"/>
  </sheetPr>
  <dimension ref="A1:C25"/>
  <sheetViews>
    <sheetView workbookViewId="0">
      <selection activeCell="A47" sqref="A47:A48"/>
    </sheetView>
  </sheetViews>
  <sheetFormatPr defaultRowHeight="15" x14ac:dyDescent="0.25"/>
  <cols>
    <col min="1" max="1" width="41.140625" style="39" customWidth="1"/>
    <col min="2" max="3" width="15.7109375" style="39" customWidth="1"/>
    <col min="4" max="16384" width="9.140625" style="39"/>
  </cols>
  <sheetData>
    <row r="1" spans="1:3" x14ac:dyDescent="0.25">
      <c r="A1" s="44"/>
      <c r="B1" s="48" t="s">
        <v>283</v>
      </c>
      <c r="C1" s="48"/>
    </row>
    <row r="2" spans="1:3" x14ac:dyDescent="0.25">
      <c r="A2" s="44"/>
      <c r="B2" s="48" t="s">
        <v>264</v>
      </c>
      <c r="C2" s="48"/>
    </row>
    <row r="3" spans="1:3" x14ac:dyDescent="0.25">
      <c r="A3" s="44"/>
      <c r="B3" s="46">
        <v>2022</v>
      </c>
      <c r="C3" s="46">
        <v>2021</v>
      </c>
    </row>
    <row r="4" spans="1:3" x14ac:dyDescent="0.25">
      <c r="A4" s="44" t="s">
        <v>282</v>
      </c>
      <c r="B4" s="41">
        <v>618619</v>
      </c>
      <c r="C4" s="41">
        <v>541586</v>
      </c>
    </row>
    <row r="5" spans="1:3" x14ac:dyDescent="0.25">
      <c r="A5" s="44" t="s">
        <v>281</v>
      </c>
      <c r="B5" s="45"/>
      <c r="C5" s="45"/>
    </row>
    <row r="6" spans="1:3" x14ac:dyDescent="0.25">
      <c r="A6" s="44" t="s">
        <v>280</v>
      </c>
      <c r="B6" s="43">
        <v>492663</v>
      </c>
      <c r="C6" s="43">
        <v>419151</v>
      </c>
    </row>
    <row r="7" spans="1:3" x14ac:dyDescent="0.25">
      <c r="A7" s="44" t="s">
        <v>279</v>
      </c>
      <c r="B7" s="43">
        <v>63187</v>
      </c>
      <c r="C7" s="43">
        <v>62306</v>
      </c>
    </row>
    <row r="8" spans="1:3" x14ac:dyDescent="0.25">
      <c r="A8" s="44" t="s">
        <v>278</v>
      </c>
      <c r="B8" s="43">
        <v>28634</v>
      </c>
      <c r="C8" s="43">
        <v>25392</v>
      </c>
    </row>
    <row r="9" spans="1:3" x14ac:dyDescent="0.25">
      <c r="A9" s="44" t="s">
        <v>277</v>
      </c>
      <c r="B9" s="43">
        <v>11142</v>
      </c>
      <c r="C9" s="43">
        <v>8306</v>
      </c>
    </row>
    <row r="10" spans="1:3" x14ac:dyDescent="0.25">
      <c r="A10" s="44" t="s">
        <v>276</v>
      </c>
      <c r="B10" s="43">
        <v>-366</v>
      </c>
      <c r="C10" s="43">
        <v>-641</v>
      </c>
    </row>
    <row r="11" spans="1:3" x14ac:dyDescent="0.25">
      <c r="A11" s="44" t="s">
        <v>275</v>
      </c>
      <c r="B11" s="43">
        <v>-8390</v>
      </c>
      <c r="C11" s="43">
        <v>-10674</v>
      </c>
    </row>
    <row r="12" spans="1:3" x14ac:dyDescent="0.25">
      <c r="A12" s="44" t="s">
        <v>274</v>
      </c>
      <c r="B12" s="43">
        <v>586870</v>
      </c>
      <c r="C12" s="43">
        <v>503840</v>
      </c>
    </row>
    <row r="13" spans="1:3" x14ac:dyDescent="0.25">
      <c r="A13" s="44" t="s">
        <v>273</v>
      </c>
      <c r="B13" s="43">
        <v>31749</v>
      </c>
      <c r="C13" s="43">
        <v>37746</v>
      </c>
    </row>
    <row r="14" spans="1:3" x14ac:dyDescent="0.25">
      <c r="A14" s="44" t="s">
        <v>272</v>
      </c>
      <c r="B14" s="43">
        <v>2143</v>
      </c>
      <c r="C14" s="43">
        <v>7441</v>
      </c>
    </row>
    <row r="15" spans="1:3" x14ac:dyDescent="0.25">
      <c r="A15" s="42" t="s">
        <v>271</v>
      </c>
      <c r="B15" s="41">
        <v>29606</v>
      </c>
      <c r="C15" s="41">
        <v>30305</v>
      </c>
    </row>
    <row r="16" spans="1:3" x14ac:dyDescent="0.25">
      <c r="A16" s="44"/>
      <c r="B16" s="45"/>
      <c r="C16" s="45"/>
    </row>
    <row r="17" spans="1:3" x14ac:dyDescent="0.25">
      <c r="A17" s="42" t="s">
        <v>270</v>
      </c>
      <c r="B17" s="45"/>
      <c r="C17" s="45"/>
    </row>
    <row r="18" spans="1:3" x14ac:dyDescent="0.25">
      <c r="A18" s="44" t="s">
        <v>269</v>
      </c>
      <c r="B18" s="47">
        <v>0.5</v>
      </c>
      <c r="C18" s="47">
        <v>0.48</v>
      </c>
    </row>
    <row r="19" spans="1:3" x14ac:dyDescent="0.25">
      <c r="A19" s="44" t="s">
        <v>268</v>
      </c>
      <c r="B19" s="47">
        <v>0.49</v>
      </c>
      <c r="C19" s="47">
        <v>0.47</v>
      </c>
    </row>
    <row r="20" spans="1:3" x14ac:dyDescent="0.25">
      <c r="A20" s="44"/>
      <c r="B20" s="45"/>
      <c r="C20" s="45"/>
    </row>
    <row r="21" spans="1:3" x14ac:dyDescent="0.25">
      <c r="A21" s="42" t="s">
        <v>267</v>
      </c>
      <c r="B21" s="45"/>
      <c r="C21" s="45"/>
    </row>
    <row r="22" spans="1:3" x14ac:dyDescent="0.25">
      <c r="A22" s="44" t="s">
        <v>266</v>
      </c>
      <c r="B22" s="43">
        <v>59667</v>
      </c>
      <c r="C22" s="43">
        <v>63094</v>
      </c>
    </row>
    <row r="23" spans="1:3" x14ac:dyDescent="0.25">
      <c r="A23" s="44" t="s">
        <v>265</v>
      </c>
      <c r="B23" s="43">
        <v>60928</v>
      </c>
      <c r="C23" s="43">
        <v>65099</v>
      </c>
    </row>
    <row r="25" spans="1:3" x14ac:dyDescent="0.25">
      <c r="A25" s="40" t="s">
        <v>238</v>
      </c>
    </row>
  </sheetData>
  <hyperlinks>
    <hyperlink ref="A25" r:id="rId1" xr:uid="{5007465A-256F-41D0-B8AC-6EB14870F698}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4EDAE-A34F-4B3A-9A23-72436275DA28}">
  <sheetPr>
    <tabColor theme="6" tint="-0.249977111117893"/>
  </sheetPr>
  <dimension ref="A1:C43"/>
  <sheetViews>
    <sheetView workbookViewId="0">
      <selection activeCell="B25" sqref="B25"/>
    </sheetView>
  </sheetViews>
  <sheetFormatPr defaultRowHeight="15" x14ac:dyDescent="0.25"/>
  <cols>
    <col min="1" max="1" width="50.7109375" style="39" customWidth="1"/>
    <col min="2" max="3" width="15.7109375" style="39" customWidth="1"/>
    <col min="4" max="16384" width="9.140625" style="39"/>
  </cols>
  <sheetData>
    <row r="1" spans="1:3" x14ac:dyDescent="0.25">
      <c r="A1" s="44"/>
      <c r="B1" s="46" t="s">
        <v>264</v>
      </c>
      <c r="C1" s="46" t="s">
        <v>263</v>
      </c>
    </row>
    <row r="2" spans="1:3" x14ac:dyDescent="0.25">
      <c r="A2" s="44"/>
      <c r="B2" s="46">
        <v>2022</v>
      </c>
      <c r="C2" s="46">
        <v>2022</v>
      </c>
    </row>
    <row r="3" spans="1:3" x14ac:dyDescent="0.25">
      <c r="A3" s="42" t="s">
        <v>262</v>
      </c>
      <c r="B3" s="45"/>
      <c r="C3" s="45"/>
    </row>
    <row r="4" spans="1:3" x14ac:dyDescent="0.25">
      <c r="A4" s="44" t="s">
        <v>261</v>
      </c>
      <c r="B4" s="45"/>
      <c r="C4" s="45"/>
    </row>
    <row r="5" spans="1:3" x14ac:dyDescent="0.25">
      <c r="A5" s="44" t="s">
        <v>171</v>
      </c>
      <c r="B5" s="41">
        <v>99335</v>
      </c>
      <c r="C5" s="41">
        <v>107844</v>
      </c>
    </row>
    <row r="6" spans="1:3" x14ac:dyDescent="0.25">
      <c r="A6" s="44" t="s">
        <v>260</v>
      </c>
      <c r="B6" s="43">
        <v>597053</v>
      </c>
      <c r="C6" s="43">
        <v>609964</v>
      </c>
    </row>
    <row r="7" spans="1:3" x14ac:dyDescent="0.25">
      <c r="A7" s="44" t="s">
        <v>22</v>
      </c>
      <c r="B7" s="43">
        <v>573834</v>
      </c>
      <c r="C7" s="43">
        <v>514287</v>
      </c>
    </row>
    <row r="8" spans="1:3" x14ac:dyDescent="0.25">
      <c r="A8" s="44" t="s">
        <v>259</v>
      </c>
      <c r="B8" s="43">
        <v>5051</v>
      </c>
      <c r="C8" s="43">
        <v>5179</v>
      </c>
    </row>
    <row r="9" spans="1:3" x14ac:dyDescent="0.25">
      <c r="A9" s="44" t="s">
        <v>175</v>
      </c>
      <c r="B9" s="43">
        <v>84229</v>
      </c>
      <c r="C9" s="43">
        <v>74695</v>
      </c>
    </row>
    <row r="10" spans="1:3" x14ac:dyDescent="0.25">
      <c r="A10" s="44" t="s">
        <v>176</v>
      </c>
      <c r="B10" s="43">
        <v>1359502</v>
      </c>
      <c r="C10" s="43">
        <v>1311969</v>
      </c>
    </row>
    <row r="11" spans="1:3" x14ac:dyDescent="0.25">
      <c r="A11" s="44" t="s">
        <v>258</v>
      </c>
      <c r="B11" s="43">
        <v>921665</v>
      </c>
      <c r="C11" s="43">
        <v>910472</v>
      </c>
    </row>
    <row r="12" spans="1:3" x14ac:dyDescent="0.25">
      <c r="A12" s="44" t="s">
        <v>23</v>
      </c>
      <c r="B12" s="43">
        <v>793920</v>
      </c>
      <c r="C12" s="43">
        <v>772559</v>
      </c>
    </row>
    <row r="13" spans="1:3" x14ac:dyDescent="0.25">
      <c r="A13" s="44" t="s">
        <v>257</v>
      </c>
      <c r="B13" s="43">
        <v>485644</v>
      </c>
      <c r="C13" s="43">
        <v>460580</v>
      </c>
    </row>
    <row r="14" spans="1:3" x14ac:dyDescent="0.25">
      <c r="A14" s="44" t="s">
        <v>256</v>
      </c>
      <c r="B14" s="43">
        <v>24849</v>
      </c>
      <c r="C14" s="43">
        <v>23447</v>
      </c>
    </row>
    <row r="15" spans="1:3" x14ac:dyDescent="0.25">
      <c r="A15" s="44" t="s">
        <v>181</v>
      </c>
      <c r="B15" s="43">
        <v>309228</v>
      </c>
      <c r="C15" s="43">
        <v>327419</v>
      </c>
    </row>
    <row r="16" spans="1:3" x14ac:dyDescent="0.25">
      <c r="A16" s="42" t="s">
        <v>255</v>
      </c>
      <c r="B16" s="41">
        <v>3894808</v>
      </c>
      <c r="C16" s="41">
        <v>3806446</v>
      </c>
    </row>
    <row r="17" spans="1:3" x14ac:dyDescent="0.25">
      <c r="A17" s="42" t="s">
        <v>254</v>
      </c>
      <c r="B17" s="45"/>
      <c r="C17" s="45"/>
    </row>
    <row r="18" spans="1:3" x14ac:dyDescent="0.25">
      <c r="A18" s="44" t="s">
        <v>253</v>
      </c>
      <c r="B18" s="45"/>
      <c r="C18" s="45"/>
    </row>
    <row r="19" spans="1:3" x14ac:dyDescent="0.25">
      <c r="A19" s="44" t="s">
        <v>252</v>
      </c>
      <c r="B19" s="41">
        <v>109300</v>
      </c>
      <c r="C19" s="41">
        <v>66800</v>
      </c>
    </row>
    <row r="20" spans="1:3" x14ac:dyDescent="0.25">
      <c r="A20" s="44" t="s">
        <v>251</v>
      </c>
      <c r="B20" s="43">
        <v>76027</v>
      </c>
      <c r="C20" s="43">
        <v>856</v>
      </c>
    </row>
    <row r="21" spans="1:3" x14ac:dyDescent="0.25">
      <c r="A21" s="44" t="s">
        <v>184</v>
      </c>
      <c r="B21" s="43">
        <v>219365</v>
      </c>
      <c r="C21" s="43">
        <v>230519</v>
      </c>
    </row>
    <row r="22" spans="1:3" x14ac:dyDescent="0.25">
      <c r="A22" s="44" t="s">
        <v>185</v>
      </c>
      <c r="B22" s="43">
        <v>37086</v>
      </c>
      <c r="C22" s="43">
        <v>34655</v>
      </c>
    </row>
    <row r="23" spans="1:3" x14ac:dyDescent="0.25">
      <c r="A23" s="44" t="s">
        <v>186</v>
      </c>
      <c r="B23" s="43">
        <v>191383</v>
      </c>
      <c r="C23" s="43">
        <v>206283</v>
      </c>
    </row>
    <row r="24" spans="1:3" x14ac:dyDescent="0.25">
      <c r="A24" s="44" t="s">
        <v>187</v>
      </c>
      <c r="B24" s="43">
        <v>633161</v>
      </c>
      <c r="C24" s="43">
        <v>539113</v>
      </c>
    </row>
    <row r="25" spans="1:3" x14ac:dyDescent="0.25">
      <c r="A25" s="44" t="s">
        <v>250</v>
      </c>
      <c r="B25" s="43">
        <v>649093</v>
      </c>
      <c r="C25" s="43">
        <v>709760</v>
      </c>
    </row>
    <row r="26" spans="1:3" x14ac:dyDescent="0.25">
      <c r="A26" s="44" t="s">
        <v>249</v>
      </c>
      <c r="B26" s="43">
        <v>136825</v>
      </c>
      <c r="C26" s="43">
        <v>127195</v>
      </c>
    </row>
    <row r="27" spans="1:3" x14ac:dyDescent="0.25">
      <c r="A27" s="44" t="s">
        <v>154</v>
      </c>
      <c r="B27" s="43">
        <v>536294</v>
      </c>
      <c r="C27" s="43">
        <v>529256</v>
      </c>
    </row>
    <row r="28" spans="1:3" x14ac:dyDescent="0.25">
      <c r="A28" s="42" t="s">
        <v>191</v>
      </c>
      <c r="B28" s="43">
        <v>1955373</v>
      </c>
      <c r="C28" s="43">
        <v>1905324</v>
      </c>
    </row>
    <row r="29" spans="1:3" x14ac:dyDescent="0.25">
      <c r="A29" s="44" t="s">
        <v>248</v>
      </c>
      <c r="B29" s="45"/>
      <c r="C29" s="45"/>
    </row>
    <row r="30" spans="1:3" x14ac:dyDescent="0.25">
      <c r="A30" s="44" t="s">
        <v>247</v>
      </c>
      <c r="B30" s="45"/>
      <c r="C30" s="45"/>
    </row>
    <row r="31" spans="1:3" x14ac:dyDescent="0.25">
      <c r="A31" s="44" t="s">
        <v>246</v>
      </c>
      <c r="B31" s="43">
        <v>0</v>
      </c>
      <c r="C31" s="43">
        <v>0</v>
      </c>
    </row>
    <row r="32" spans="1:3" x14ac:dyDescent="0.25">
      <c r="A32" s="44" t="s">
        <v>245</v>
      </c>
      <c r="B32" s="43">
        <v>106</v>
      </c>
      <c r="C32" s="43">
        <v>106</v>
      </c>
    </row>
    <row r="33" spans="1:3" x14ac:dyDescent="0.25">
      <c r="A33" s="44" t="s">
        <v>193</v>
      </c>
      <c r="B33" s="43">
        <v>305100</v>
      </c>
      <c r="C33" s="43">
        <v>293540</v>
      </c>
    </row>
    <row r="34" spans="1:3" x14ac:dyDescent="0.25">
      <c r="A34" s="44" t="s">
        <v>244</v>
      </c>
      <c r="B34" s="43">
        <v>-58632</v>
      </c>
      <c r="C34" s="43">
        <v>-92563</v>
      </c>
    </row>
    <row r="35" spans="1:3" x14ac:dyDescent="0.25">
      <c r="A35" s="44" t="s">
        <v>243</v>
      </c>
      <c r="B35" s="43">
        <v>5975</v>
      </c>
      <c r="C35" s="43">
        <v>6781</v>
      </c>
    </row>
    <row r="36" spans="1:3" x14ac:dyDescent="0.25">
      <c r="A36" s="44" t="s">
        <v>196</v>
      </c>
      <c r="B36" s="43">
        <v>2745484</v>
      </c>
      <c r="C36" s="43">
        <v>2727233</v>
      </c>
    </row>
    <row r="37" spans="1:3" x14ac:dyDescent="0.25">
      <c r="A37" s="44"/>
      <c r="B37" s="43">
        <v>2998033</v>
      </c>
      <c r="C37" s="43">
        <v>2935097</v>
      </c>
    </row>
    <row r="38" spans="1:3" x14ac:dyDescent="0.25">
      <c r="A38" s="44" t="s">
        <v>242</v>
      </c>
      <c r="B38" s="43">
        <v>-1052623</v>
      </c>
      <c r="C38" s="43">
        <v>-1027194</v>
      </c>
    </row>
    <row r="39" spans="1:3" x14ac:dyDescent="0.25">
      <c r="A39" s="44" t="s">
        <v>241</v>
      </c>
      <c r="B39" s="43">
        <v>-5975</v>
      </c>
      <c r="C39" s="43">
        <v>-6781</v>
      </c>
    </row>
    <row r="40" spans="1:3" x14ac:dyDescent="0.25">
      <c r="A40" s="42" t="s">
        <v>240</v>
      </c>
      <c r="B40" s="43">
        <v>1939435</v>
      </c>
      <c r="C40" s="43">
        <v>1901122</v>
      </c>
    </row>
    <row r="41" spans="1:3" x14ac:dyDescent="0.25">
      <c r="A41" s="42" t="s">
        <v>239</v>
      </c>
      <c r="B41" s="41">
        <v>3894808</v>
      </c>
      <c r="C41" s="41">
        <v>3806446</v>
      </c>
    </row>
    <row r="43" spans="1:3" x14ac:dyDescent="0.25">
      <c r="A43" s="40" t="s">
        <v>238</v>
      </c>
    </row>
  </sheetData>
  <hyperlinks>
    <hyperlink ref="A43" r:id="rId1" xr:uid="{3EF78CC2-758E-4D21-8A79-07C2D687EFD3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Cover</vt:lpstr>
      <vt:lpstr>Model</vt:lpstr>
      <vt:lpstr>Valuation</vt:lpstr>
      <vt:lpstr>TSM</vt:lpstr>
      <vt:lpstr>vs. Consensus</vt:lpstr>
      <vt:lpstr>WACC Analysis&gt;&gt;</vt:lpstr>
      <vt:lpstr>WACC</vt:lpstr>
      <vt:lpstr>Beta Determination</vt:lpstr>
      <vt:lpstr>Catalyst Calendar</vt:lpstr>
      <vt:lpstr>Other Information&gt;&gt;</vt:lpstr>
      <vt:lpstr>Air India Scenario</vt:lpstr>
      <vt:lpstr>Historical deliveries - Airbus</vt:lpstr>
      <vt:lpstr>Airbus Deliveries 2022</vt:lpstr>
      <vt:lpstr>Boeing Historical Deliveries</vt:lpstr>
      <vt:lpstr>F35 lots</vt:lpstr>
      <vt:lpstr>Company Financials&gt;&gt;</vt:lpstr>
      <vt:lpstr>Sheet (3)</vt:lpstr>
      <vt:lpstr>Sheet (4)</vt:lpstr>
      <vt:lpstr>Sheet (2)</vt:lpstr>
      <vt:lpstr>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FactSet Research Systems</dc:creator>
  <cp:keywords/>
  <dc:description/>
  <cp:lastModifiedBy>eric schmitt</cp:lastModifiedBy>
  <dcterms:created xsi:type="dcterms:W3CDTF">2023-02-01T16:35:55Z</dcterms:created>
  <dcterms:modified xsi:type="dcterms:W3CDTF">2023-02-06T04:27:51Z</dcterms:modified>
  <cp:category/>
</cp:coreProperties>
</file>