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omments4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6a9230c60c51ab/Documents/SSTK Merger/"/>
    </mc:Choice>
  </mc:AlternateContent>
  <xr:revisionPtr revIDLastSave="2189" documentId="8_{6901F6BE-1471-4BD1-99CB-4CDA3FA393C6}" xr6:coauthVersionLast="47" xr6:coauthVersionMax="47" xr10:uidLastSave="{675C4C17-ED1A-4008-826C-2A86DCC532F4}"/>
  <bookViews>
    <workbookView xWindow="-120" yWindow="-120" windowWidth="29040" windowHeight="15720" xr2:uid="{5B2E13F4-323C-42A3-AC44-0B4739873C35}"/>
  </bookViews>
  <sheets>
    <sheet name="SSTK TSM" sheetId="1" r:id="rId1"/>
    <sheet name="GETY TSM" sheetId="4" r:id="rId2"/>
    <sheet name="Pro Forma Capitalization" sheetId="2" r:id="rId3"/>
    <sheet name="S&amp;U" sheetId="3" r:id="rId4"/>
    <sheet name="Financing" sheetId="7" r:id="rId5"/>
    <sheet name="Model" sheetId="5" r:id="rId6"/>
    <sheet name="Value Creation" sheetId="8" r:id="rId7"/>
    <sheet name="Exchange Ratio" sheetId="6" state="hidden" r:id="rId8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07" i="8" l="1"/>
  <c r="AA106" i="8"/>
  <c r="AB103" i="8"/>
  <c r="AB101" i="8"/>
  <c r="AB99" i="8"/>
  <c r="AC99" i="8" s="1"/>
  <c r="AC103" i="8"/>
  <c r="AC101" i="8"/>
  <c r="AC95" i="8"/>
  <c r="AC93" i="8"/>
  <c r="AB95" i="8"/>
  <c r="AB93" i="8"/>
  <c r="AB91" i="8"/>
  <c r="AC91" i="8" s="1"/>
  <c r="G43" i="5"/>
  <c r="G42" i="5"/>
  <c r="G38" i="5"/>
  <c r="G37" i="5"/>
  <c r="C65" i="5"/>
  <c r="C64" i="5"/>
  <c r="C66" i="5" s="1"/>
  <c r="D60" i="5"/>
  <c r="E60" i="5" s="1"/>
  <c r="E65" i="5" s="1"/>
  <c r="D59" i="5"/>
  <c r="D64" i="5" s="1"/>
  <c r="C27" i="5"/>
  <c r="D5" i="8" s="1"/>
  <c r="AA98" i="8" s="1"/>
  <c r="C26" i="5"/>
  <c r="D4" i="8" s="1"/>
  <c r="AA90" i="8" s="1"/>
  <c r="D84" i="5"/>
  <c r="C22" i="5"/>
  <c r="C21" i="5"/>
  <c r="D43" i="5"/>
  <c r="D44" i="5" s="1"/>
  <c r="D38" i="5"/>
  <c r="D48" i="5" s="1"/>
  <c r="E53" i="5"/>
  <c r="C53" i="5"/>
  <c r="E52" i="5"/>
  <c r="C52" i="5"/>
  <c r="D52" i="5"/>
  <c r="E44" i="5"/>
  <c r="C44" i="5"/>
  <c r="E47" i="5"/>
  <c r="D47" i="5"/>
  <c r="C61" i="5"/>
  <c r="E39" i="5"/>
  <c r="C39" i="5"/>
  <c r="C54" i="5" s="1"/>
  <c r="G47" i="8"/>
  <c r="G49" i="8" s="1"/>
  <c r="H53" i="8"/>
  <c r="P78" i="8"/>
  <c r="Q78" i="8" s="1"/>
  <c r="R78" i="8" s="1"/>
  <c r="S78" i="8" s="1"/>
  <c r="T78" i="8" s="1"/>
  <c r="U78" i="8" s="1"/>
  <c r="V78" i="8" s="1"/>
  <c r="W78" i="8" s="1"/>
  <c r="N69" i="8"/>
  <c r="N70" i="8" s="1"/>
  <c r="N71" i="8" s="1"/>
  <c r="N72" i="8" s="1"/>
  <c r="N73" i="8" s="1"/>
  <c r="N74" i="8" s="1"/>
  <c r="P67" i="8"/>
  <c r="Q67" i="8" s="1"/>
  <c r="R67" i="8" s="1"/>
  <c r="S67" i="8" s="1"/>
  <c r="T67" i="8" s="1"/>
  <c r="U67" i="8" s="1"/>
  <c r="V67" i="8" s="1"/>
  <c r="W67" i="8" s="1"/>
  <c r="E9" i="6"/>
  <c r="D225" i="5"/>
  <c r="D229" i="5" s="1"/>
  <c r="E225" i="5"/>
  <c r="E229" i="5" s="1"/>
  <c r="D235" i="5"/>
  <c r="D239" i="5" s="1"/>
  <c r="E235" i="5"/>
  <c r="E239" i="5" s="1"/>
  <c r="E6" i="2"/>
  <c r="C6" i="2"/>
  <c r="E7" i="2"/>
  <c r="C7" i="2"/>
  <c r="B3" i="3"/>
  <c r="C3" i="3"/>
  <c r="C6" i="3" s="1"/>
  <c r="C8" i="3" s="1"/>
  <c r="J16" i="3"/>
  <c r="C4" i="3"/>
  <c r="F16" i="3" s="1"/>
  <c r="E11" i="5"/>
  <c r="E12" i="5" s="1"/>
  <c r="E122" i="5"/>
  <c r="E78" i="5"/>
  <c r="D78" i="5"/>
  <c r="P54" i="8"/>
  <c r="Q54" i="8" s="1"/>
  <c r="R54" i="8" s="1"/>
  <c r="S54" i="8" s="1"/>
  <c r="T54" i="8" s="1"/>
  <c r="U54" i="8" s="1"/>
  <c r="V54" i="8" s="1"/>
  <c r="W54" i="8" s="1"/>
  <c r="N45" i="8"/>
  <c r="N46" i="8" s="1"/>
  <c r="N47" i="8" s="1"/>
  <c r="N48" i="8" s="1"/>
  <c r="N49" i="8" s="1"/>
  <c r="N50" i="8" s="1"/>
  <c r="P43" i="8"/>
  <c r="Q43" i="8" s="1"/>
  <c r="R43" i="8" s="1"/>
  <c r="S43" i="8" s="1"/>
  <c r="T43" i="8" s="1"/>
  <c r="U43" i="8" s="1"/>
  <c r="V43" i="8" s="1"/>
  <c r="W43" i="8" s="1"/>
  <c r="E32" i="8"/>
  <c r="D112" i="5"/>
  <c r="E22" i="8"/>
  <c r="F22" i="8" s="1"/>
  <c r="F18" i="8"/>
  <c r="E19" i="8"/>
  <c r="F19" i="8" s="1"/>
  <c r="E3" i="8"/>
  <c r="F3" i="8" s="1"/>
  <c r="L27" i="4"/>
  <c r="L25" i="4"/>
  <c r="D27" i="5" l="1"/>
  <c r="E5" i="8" s="1"/>
  <c r="G39" i="5"/>
  <c r="G44" i="5"/>
  <c r="G65" i="5"/>
  <c r="D65" i="5"/>
  <c r="G60" i="5"/>
  <c r="E59" i="5"/>
  <c r="C32" i="5"/>
  <c r="C89" i="5"/>
  <c r="C31" i="5"/>
  <c r="C88" i="5"/>
  <c r="D39" i="5"/>
  <c r="D54" i="5" s="1"/>
  <c r="D53" i="5"/>
  <c r="E54" i="5"/>
  <c r="E48" i="5"/>
  <c r="C76" i="5"/>
  <c r="D21" i="5"/>
  <c r="D22" i="5"/>
  <c r="D117" i="5" s="1"/>
  <c r="D26" i="5"/>
  <c r="D61" i="5"/>
  <c r="D71" i="5" s="1"/>
  <c r="C9" i="3"/>
  <c r="J15" i="3" s="1"/>
  <c r="F15" i="3"/>
  <c r="D7" i="8"/>
  <c r="I39" i="8" l="1"/>
  <c r="AB98" i="8"/>
  <c r="AB100" i="8" s="1"/>
  <c r="AB102" i="8" s="1"/>
  <c r="AB104" i="8" s="1"/>
  <c r="D89" i="5"/>
  <c r="D49" i="5"/>
  <c r="E64" i="5"/>
  <c r="G59" i="5"/>
  <c r="E49" i="5"/>
  <c r="E21" i="5"/>
  <c r="G21" i="5" s="1"/>
  <c r="D32" i="5"/>
  <c r="E4" i="8"/>
  <c r="AB90" i="8" s="1"/>
  <c r="AB92" i="8" s="1"/>
  <c r="AB94" i="8" s="1"/>
  <c r="AB96" i="8" s="1"/>
  <c r="D31" i="5"/>
  <c r="D88" i="5"/>
  <c r="E22" i="5"/>
  <c r="G22" i="5" s="1"/>
  <c r="D66" i="5"/>
  <c r="D76" i="5" s="1"/>
  <c r="E61" i="5"/>
  <c r="E27" i="5"/>
  <c r="E71" i="5" l="1"/>
  <c r="G61" i="5"/>
  <c r="E26" i="5"/>
  <c r="G64" i="5"/>
  <c r="E31" i="5"/>
  <c r="E89" i="5"/>
  <c r="E32" i="5"/>
  <c r="G27" i="5"/>
  <c r="F5" i="8"/>
  <c r="AC98" i="8" s="1"/>
  <c r="AC100" i="8" s="1"/>
  <c r="AC102" i="8" s="1"/>
  <c r="AC104" i="8" s="1"/>
  <c r="I38" i="8"/>
  <c r="K40" i="8" s="1"/>
  <c r="D9" i="8" s="1"/>
  <c r="E9" i="8" s="1"/>
  <c r="E7" i="8"/>
  <c r="E66" i="5"/>
  <c r="G26" i="5" l="1"/>
  <c r="E88" i="5"/>
  <c r="F4" i="8"/>
  <c r="E76" i="5"/>
  <c r="G66" i="5"/>
  <c r="E11" i="8"/>
  <c r="F9" i="8"/>
  <c r="D11" i="8"/>
  <c r="F7" i="8" l="1"/>
  <c r="F11" i="8" s="1"/>
  <c r="AC90" i="8"/>
  <c r="AC92" i="8" s="1"/>
  <c r="AC94" i="8" s="1"/>
  <c r="AC96" i="8" s="1"/>
  <c r="D180" i="5"/>
  <c r="D172" i="5"/>
  <c r="D164" i="5"/>
  <c r="D156" i="5"/>
  <c r="D146" i="5"/>
  <c r="E146" i="5" s="1"/>
  <c r="D147" i="5"/>
  <c r="D136" i="5"/>
  <c r="D137" i="5"/>
  <c r="D113" i="5"/>
  <c r="D127" i="5" s="1"/>
  <c r="E113" i="5"/>
  <c r="E127" i="5" s="1"/>
  <c r="C113" i="5"/>
  <c r="E117" i="5"/>
  <c r="C117" i="5"/>
  <c r="E116" i="5"/>
  <c r="D116" i="5"/>
  <c r="C116" i="5"/>
  <c r="F235" i="5"/>
  <c r="F239" i="5" s="1"/>
  <c r="C235" i="5"/>
  <c r="F225" i="5"/>
  <c r="F229" i="5" s="1"/>
  <c r="C225" i="5"/>
  <c r="G12" i="7"/>
  <c r="E7" i="7"/>
  <c r="D90" i="5"/>
  <c r="E90" i="5"/>
  <c r="C90" i="5"/>
  <c r="D28" i="5"/>
  <c r="E28" i="5"/>
  <c r="C28" i="5"/>
  <c r="D23" i="5"/>
  <c r="E23" i="5"/>
  <c r="C23" i="5"/>
  <c r="C94" i="5"/>
  <c r="C95" i="5" s="1"/>
  <c r="D17" i="5"/>
  <c r="E17" i="5" s="1"/>
  <c r="E5" i="6"/>
  <c r="E6" i="6"/>
  <c r="E7" i="6"/>
  <c r="E8" i="6"/>
  <c r="E4" i="6"/>
  <c r="I20" i="2"/>
  <c r="G21" i="2"/>
  <c r="I21" i="2" s="1"/>
  <c r="I16" i="2"/>
  <c r="I17" i="2"/>
  <c r="I15" i="2"/>
  <c r="E11" i="2"/>
  <c r="E10" i="2"/>
  <c r="C11" i="2"/>
  <c r="I11" i="2" s="1"/>
  <c r="D193" i="5" s="1"/>
  <c r="C10" i="2"/>
  <c r="L13" i="4"/>
  <c r="F13" i="4"/>
  <c r="G13" i="4"/>
  <c r="D14" i="4"/>
  <c r="F12" i="4"/>
  <c r="G12" i="4" s="1"/>
  <c r="L11" i="4"/>
  <c r="F11" i="4"/>
  <c r="G11" i="4" s="1"/>
  <c r="I11" i="4"/>
  <c r="P44" i="3"/>
  <c r="Q44" i="3"/>
  <c r="R44" i="3"/>
  <c r="S44" i="3"/>
  <c r="T44" i="3"/>
  <c r="O44" i="3"/>
  <c r="L21" i="1"/>
  <c r="L16" i="1"/>
  <c r="L12" i="1"/>
  <c r="F12" i="1"/>
  <c r="G12" i="1" s="1"/>
  <c r="F11" i="1"/>
  <c r="D14" i="1"/>
  <c r="L11" i="1"/>
  <c r="G11" i="1"/>
  <c r="I11" i="1"/>
  <c r="C33" i="5" l="1"/>
  <c r="D33" i="5"/>
  <c r="E33" i="5"/>
  <c r="C80" i="5"/>
  <c r="G28" i="5"/>
  <c r="G23" i="5"/>
  <c r="E80" i="5"/>
  <c r="E124" i="5" s="1"/>
  <c r="D80" i="5"/>
  <c r="D124" i="5" s="1"/>
  <c r="J17" i="3"/>
  <c r="J18" i="3" s="1"/>
  <c r="K17" i="3" s="1"/>
  <c r="E136" i="5"/>
  <c r="D141" i="5"/>
  <c r="D151" i="5"/>
  <c r="E118" i="5"/>
  <c r="E128" i="5" s="1"/>
  <c r="H229" i="5"/>
  <c r="C118" i="5"/>
  <c r="D118" i="5"/>
  <c r="D128" i="5" s="1"/>
  <c r="H239" i="5"/>
  <c r="C97" i="5"/>
  <c r="C98" i="5" s="1"/>
  <c r="C99" i="5" s="1"/>
  <c r="C85" i="5"/>
  <c r="D85" i="5"/>
  <c r="E85" i="5"/>
  <c r="G22" i="2"/>
  <c r="I22" i="2" s="1"/>
  <c r="C8" i="2"/>
  <c r="C12" i="2" s="1"/>
  <c r="C26" i="2" s="1"/>
  <c r="E8" i="2"/>
  <c r="E12" i="2" s="1"/>
  <c r="J39" i="8" s="1"/>
  <c r="I6" i="2"/>
  <c r="G14" i="4"/>
  <c r="G17" i="4" s="1"/>
  <c r="D15" i="4"/>
  <c r="G18" i="4" s="1"/>
  <c r="G19" i="4" s="1"/>
  <c r="L14" i="4" s="1"/>
  <c r="L15" i="4" s="1"/>
  <c r="L21" i="4" s="1"/>
  <c r="G14" i="1"/>
  <c r="G17" i="1" s="1"/>
  <c r="D15" i="1"/>
  <c r="E13" i="5" l="1"/>
  <c r="E15" i="5" s="1"/>
  <c r="D129" i="5" s="1"/>
  <c r="K18" i="3"/>
  <c r="K15" i="3"/>
  <c r="I7" i="2"/>
  <c r="C102" i="5"/>
  <c r="D102" i="5" s="1"/>
  <c r="C25" i="2"/>
  <c r="C31" i="2"/>
  <c r="C30" i="2"/>
  <c r="C32" i="2"/>
  <c r="J38" i="8"/>
  <c r="C27" i="2"/>
  <c r="H241" i="5"/>
  <c r="K16" i="3"/>
  <c r="F18" i="3"/>
  <c r="E26" i="2"/>
  <c r="E31" i="2"/>
  <c r="E32" i="2"/>
  <c r="E27" i="2"/>
  <c r="E25" i="2"/>
  <c r="E30" i="2"/>
  <c r="I8" i="2"/>
  <c r="G18" i="1"/>
  <c r="G19" i="1" s="1"/>
  <c r="L14" i="1" s="1"/>
  <c r="L15" i="1" s="1"/>
  <c r="G18" i="3" l="1"/>
  <c r="G16" i="3"/>
  <c r="G15" i="3"/>
  <c r="G10" i="2"/>
  <c r="I10" i="2" s="1"/>
  <c r="F17" i="3"/>
  <c r="G17" i="3" s="1"/>
  <c r="C101" i="5"/>
  <c r="E102" i="5"/>
  <c r="F27" i="8" s="1"/>
  <c r="E27" i="8"/>
  <c r="D13" i="8" l="1"/>
  <c r="D15" i="8" s="1"/>
  <c r="I12" i="2"/>
  <c r="I32" i="2" s="1"/>
  <c r="I30" i="2" l="1"/>
  <c r="I26" i="2"/>
  <c r="I25" i="2"/>
  <c r="I31" i="2"/>
  <c r="I27" i="2"/>
  <c r="D95" i="5" l="1"/>
  <c r="E95" i="5"/>
  <c r="D97" i="5"/>
  <c r="E97" i="5"/>
  <c r="D98" i="5"/>
  <c r="E98" i="5"/>
  <c r="D99" i="5"/>
  <c r="E99" i="5"/>
  <c r="D101" i="5"/>
  <c r="E101" i="5"/>
  <c r="M104" i="5"/>
  <c r="M105" i="5"/>
  <c r="D125" i="5"/>
  <c r="E125" i="5"/>
  <c r="D126" i="5"/>
  <c r="E126" i="5"/>
  <c r="D130" i="5"/>
  <c r="E130" i="5"/>
  <c r="E137" i="5"/>
  <c r="D138" i="5"/>
  <c r="E138" i="5"/>
  <c r="D139" i="5"/>
  <c r="E139" i="5"/>
  <c r="D140" i="5"/>
  <c r="E140" i="5"/>
  <c r="E141" i="5"/>
  <c r="D143" i="5"/>
  <c r="E143" i="5"/>
  <c r="E147" i="5"/>
  <c r="D148" i="5"/>
  <c r="E148" i="5"/>
  <c r="D149" i="5"/>
  <c r="E149" i="5"/>
  <c r="D150" i="5"/>
  <c r="E150" i="5"/>
  <c r="E151" i="5"/>
  <c r="D153" i="5"/>
  <c r="E153" i="5"/>
  <c r="E156" i="5"/>
  <c r="D157" i="5"/>
  <c r="E157" i="5"/>
  <c r="D158" i="5"/>
  <c r="E158" i="5"/>
  <c r="D159" i="5"/>
  <c r="E159" i="5"/>
  <c r="D161" i="5"/>
  <c r="E161" i="5"/>
  <c r="E164" i="5"/>
  <c r="D165" i="5"/>
  <c r="E165" i="5"/>
  <c r="D166" i="5"/>
  <c r="E166" i="5"/>
  <c r="D167" i="5"/>
  <c r="E167" i="5"/>
  <c r="D169" i="5"/>
  <c r="E169" i="5"/>
  <c r="E172" i="5"/>
  <c r="D173" i="5"/>
  <c r="E173" i="5"/>
  <c r="D174" i="5"/>
  <c r="E174" i="5"/>
  <c r="D175" i="5"/>
  <c r="E175" i="5"/>
  <c r="D177" i="5"/>
  <c r="E177" i="5"/>
  <c r="E180" i="5"/>
  <c r="D181" i="5"/>
  <c r="E181" i="5"/>
  <c r="D182" i="5"/>
  <c r="E182" i="5"/>
  <c r="D183" i="5"/>
  <c r="E183" i="5"/>
  <c r="D185" i="5"/>
  <c r="E185" i="5"/>
  <c r="E188" i="5"/>
  <c r="D189" i="5"/>
  <c r="E189" i="5"/>
  <c r="D190" i="5"/>
  <c r="E190" i="5"/>
  <c r="D191" i="5"/>
  <c r="E191" i="5"/>
  <c r="E193" i="5"/>
  <c r="D194" i="5"/>
  <c r="E194" i="5"/>
  <c r="D195" i="5"/>
  <c r="E195" i="5"/>
  <c r="D197" i="5"/>
  <c r="E197" i="5"/>
  <c r="D199" i="5"/>
  <c r="E199" i="5"/>
  <c r="D200" i="5"/>
  <c r="E200" i="5"/>
  <c r="D205" i="5"/>
  <c r="E205" i="5"/>
  <c r="D206" i="5"/>
  <c r="E206" i="5"/>
  <c r="D207" i="5"/>
  <c r="E207" i="5"/>
  <c r="D208" i="5"/>
  <c r="E208" i="5"/>
  <c r="D211" i="5"/>
  <c r="E211" i="5"/>
  <c r="D212" i="5"/>
  <c r="E212" i="5"/>
  <c r="D213" i="5"/>
  <c r="E213" i="5"/>
  <c r="E13" i="8"/>
  <c r="F13" i="8"/>
  <c r="E15" i="8"/>
  <c r="F15" i="8"/>
  <c r="E21" i="8"/>
  <c r="F21" i="8"/>
  <c r="E24" i="8"/>
  <c r="F24" i="8"/>
  <c r="E25" i="8"/>
  <c r="F25" i="8"/>
  <c r="E28" i="8"/>
  <c r="F28" i="8"/>
  <c r="F32" i="8"/>
  <c r="F34" i="8"/>
  <c r="N43" i="8"/>
  <c r="N54" i="8"/>
  <c r="N67" i="8"/>
  <c r="N78" i="8"/>
  <c r="AB107" i="8"/>
  <c r="AC107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0F7A2412-DC78-4FB1-A250-98CB2B67785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https://www.bamsec.com/filing/154934624000045/1?cik=1549346&amp;hl=3225:3236&amp;hl_id=vynglgofbg</t>
        </r>
      </text>
    </comment>
    <comment ref="D11" authorId="0" shapeId="0" xr:uid="{080B1153-D548-4A6F-985F-B1B118326A8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https://www.bamsec.com/filing/154934624000045/1?cik=1549346&amp;hl=63098:63108&amp;hl_id=vylcdgik-x</t>
        </r>
      </text>
    </comment>
    <comment ref="D12" authorId="0" shapeId="0" xr:uid="{B499E09A-A5C7-43B9-A868-EB1423B2494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https://www.bamsec.com/filing/182072122000050/1?cik=1820721&amp;hl=60403:60411&amp;hl_id=4kpultz4a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D9FA0802-B7F5-4EA3-B5E7-44292398A65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https://www.bamsec.com/filing/162828024046324/1?cik=1898496&amp;hl=2578:2589&amp;hl_id=4ksqcmsy-l</t>
        </r>
      </text>
    </comment>
    <comment ref="L16" authorId="0" shapeId="0" xr:uid="{9C393D08-E5E7-4446-9CF8-BCE04244987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https://www.bamsec.com/filing/162828024046324/1?cik=1898496&amp;hl=5004:5014&amp;hl_id=vylg1vskwg</t>
        </r>
      </text>
    </comment>
    <comment ref="L20" authorId="0" shapeId="0" xr:uid="{8A37D134-272B-4A56-BA0A-3EDC50BEB04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https://www.bamsec.com/filing/162828024046324/1?cik=1898496&amp;hl=4126:4134&amp;hl_id=vjfryeofze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12" authorId="0" shapeId="0" xr:uid="{40490BBD-E585-4B83-A333-6C37FDB71CC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</t>
        </r>
      </text>
    </comment>
    <comment ref="G12" authorId="0" shapeId="0" xr:uid="{874B8440-9D3A-4412-94CE-D6E51FBDDD7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The Company incurred unused commitment fees of $0.4 million during each of the years ended December 31, 2023, 2022 and 2021.</t>
        </r>
      </text>
    </comment>
    <comment ref="F13" authorId="0" shapeId="0" xr:uid="{3A75283C-BA5B-4E9D-A84B-4D9E8F4AC6E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https://www.bamsec.com/transcripts/02e2b310-0a56-4a73-94aa-aff94b2fd57f?hl_id=ejp-cusyze</t>
        </r>
      </text>
    </comment>
    <comment ref="F14" authorId="0" shapeId="0" xr:uid="{E1AD3CD8-E7F6-459D-B07A-97BDB525069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https://www.bamsec.com/filing/162828024011316/1?cik=1898496&amp;hl=415426:415430&amp;hl_id=ekwd2iif-g</t>
        </r>
      </text>
    </comment>
    <comment ref="F15" authorId="0" shapeId="0" xr:uid="{F9389B2A-B1E6-4B98-AC56-AC61D4777B5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https://www.bamsec.com/filing/162828024011316/1?cik=1898496&amp;hl=416120:416128&amp;hl_id=njyt3lofwx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D84" authorId="0" shapeId="0" xr:uid="{23B54ABC-B0A0-45B7-8F48-22AD5F2625F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stubbed</t>
        </r>
      </text>
    </comment>
    <comment ref="C94" authorId="0" shapeId="0" xr:uid="{51FB6C44-183E-470E-A4B4-A6298D815DB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annualized
</t>
        </r>
      </text>
    </comment>
    <comment ref="B132" authorId="0" shapeId="0" xr:uid="{0AC32C6B-BC06-4CFF-9265-613BC2150D5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https://www.pensford.com/resources/forward-curve</t>
        </r>
      </text>
    </comment>
    <comment ref="D132" authorId="0" shapeId="0" xr:uid="{F86B1D47-01D3-4127-876A-2E71571472B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6/16/2025</t>
        </r>
      </text>
    </comment>
    <comment ref="E132" authorId="0" shapeId="0" xr:uid="{860DCE09-687D-438F-8FA8-C63F854F95F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6/15/2026</t>
        </r>
      </text>
    </comment>
    <comment ref="B133" authorId="0" shapeId="0" xr:uid="{F27B9FB6-BAAF-488E-9777-73263E83AB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https://www.chathamfinancial.com/technology/european-forward-curves</t>
        </r>
      </text>
    </comment>
    <comment ref="D133" authorId="0" shapeId="0" xr:uid="{AE0CA197-3035-479E-B928-A66AC4D759B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June 2025</t>
        </r>
      </text>
    </comment>
    <comment ref="E133" authorId="0" shapeId="0" xr:uid="{4C4C37C7-1040-4E59-929E-9718E53BE0E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June 2025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46" authorId="0" shapeId="0" xr:uid="{2C72C7EC-D49C-4B3B-965B-AFA1BE75D49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4.5x PF multiple, -10mm dissynergies</t>
        </r>
      </text>
    </comment>
    <comment ref="G47" authorId="0" shapeId="0" xr:uid="{B41F490A-1E91-422E-A172-B928B3F6DAA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6.5x PF $100mm SG&amp;A synergies ($100 by Year 2)</t>
        </r>
      </text>
    </comment>
  </commentList>
</comments>
</file>

<file path=xl/sharedStrings.xml><?xml version="1.0" encoding="utf-8"?>
<sst xmlns="http://schemas.openxmlformats.org/spreadsheetml/2006/main" count="405" uniqueCount="228">
  <si>
    <t>Sources</t>
  </si>
  <si>
    <t>Options</t>
  </si>
  <si>
    <t>WAEP</t>
  </si>
  <si>
    <t>Proceeds</t>
  </si>
  <si>
    <t>Plus: Debt</t>
  </si>
  <si>
    <t>Less: Cash</t>
  </si>
  <si>
    <t>Ticker</t>
  </si>
  <si>
    <t>SSTK</t>
  </si>
  <si>
    <t>TSM Build</t>
  </si>
  <si>
    <t>Price</t>
  </si>
  <si>
    <t>As Of</t>
  </si>
  <si>
    <t>Basic Shares</t>
  </si>
  <si>
    <t>In / Out</t>
  </si>
  <si>
    <t>Market Capitalization</t>
  </si>
  <si>
    <t>RSUs</t>
  </si>
  <si>
    <t>Target Price Premium / (Discount)</t>
  </si>
  <si>
    <t>Target Price</t>
  </si>
  <si>
    <t>Total</t>
  </si>
  <si>
    <t>Fully-Diluted Shares</t>
  </si>
  <si>
    <t>Total ITM</t>
  </si>
  <si>
    <t>Implied Equity Value</t>
  </si>
  <si>
    <t>Shares Repurchased</t>
  </si>
  <si>
    <t>Plus: NCI</t>
  </si>
  <si>
    <t>Shares Issues (Dilution)</t>
  </si>
  <si>
    <t>Plus: Preferred</t>
  </si>
  <si>
    <t>Fully Diluted Shares Outstanding</t>
  </si>
  <si>
    <t>Less: Investments in Unconsolidated Subs</t>
  </si>
  <si>
    <t>Less: Cash &amp; Cash Equivalents</t>
  </si>
  <si>
    <t>Implied Total Enterprise Value</t>
  </si>
  <si>
    <t>GETY</t>
  </si>
  <si>
    <t>Pro-Forma</t>
  </si>
  <si>
    <t>Amount</t>
  </si>
  <si>
    <t>% of Total</t>
  </si>
  <si>
    <t>Total Sources</t>
  </si>
  <si>
    <t>Uses</t>
  </si>
  <si>
    <t>Purchased Equity</t>
  </si>
  <si>
    <t>Assumptions</t>
  </si>
  <si>
    <t>Named Executive Cause of Termination</t>
  </si>
  <si>
    <t>Cash Severance Payment ($)</t>
  </si>
  <si>
    <t>Pro-Rata Bonus ($)(1)</t>
  </si>
  <si>
    <t>Acceleration of Equity Awards ($)(2)</t>
  </si>
  <si>
    <t>Continued Participation in Medical &amp; Dental Benefit Plans ($)</t>
  </si>
  <si>
    <t>Outplacement Benefits ($)</t>
  </si>
  <si>
    <t>Total ($)</t>
  </si>
  <si>
    <t>Jonathan Oringer</t>
  </si>
  <si>
    <t>Change in Control(3)</t>
  </si>
  <si>
    <t>Termination by Company without "cause"</t>
  </si>
  <si>
    <t>Death or disability</t>
  </si>
  <si>
    <t>Paul Hennessy</t>
  </si>
  <si>
    <t>Jarrod Yahes</t>
  </si>
  <si>
    <t>John Caine</t>
  </si>
  <si>
    <t>Source</t>
  </si>
  <si>
    <t>CiC Payments</t>
  </si>
  <si>
    <t>Cash CiC Payments</t>
  </si>
  <si>
    <t>Total Uses</t>
  </si>
  <si>
    <t>Net Debt</t>
  </si>
  <si>
    <t>Sources &amp; Uses</t>
  </si>
  <si>
    <t>New Stock Issued</t>
  </si>
  <si>
    <t>FDSO</t>
  </si>
  <si>
    <t>(+ / -)</t>
  </si>
  <si>
    <t>Share Price</t>
  </si>
  <si>
    <t>Current</t>
  </si>
  <si>
    <t>PSRUs</t>
  </si>
  <si>
    <t>Less: Net Debt</t>
  </si>
  <si>
    <t>TEV</t>
  </si>
  <si>
    <t>Market Cap</t>
  </si>
  <si>
    <t>Ownership</t>
  </si>
  <si>
    <t>Synergized EBITDA</t>
  </si>
  <si>
    <t>Adj. EBITDA</t>
  </si>
  <si>
    <t>FY'24</t>
  </si>
  <si>
    <t>FY'25</t>
  </si>
  <si>
    <t>FY'26</t>
  </si>
  <si>
    <t>TEV / Adj. EBITDA</t>
  </si>
  <si>
    <t>TEV / Synergized Adj. EBITDA</t>
  </si>
  <si>
    <t>New Debt</t>
  </si>
  <si>
    <t>Additional Debt</t>
  </si>
  <si>
    <t>Date</t>
  </si>
  <si>
    <t>Exchange Ratio</t>
  </si>
  <si>
    <t>Sales</t>
  </si>
  <si>
    <t>EBITDA</t>
  </si>
  <si>
    <t>EBIT</t>
  </si>
  <si>
    <t>Synergies</t>
  </si>
  <si>
    <t>Interest</t>
  </si>
  <si>
    <t>EBT</t>
  </si>
  <si>
    <t>Taxes</t>
  </si>
  <si>
    <t>Net Income</t>
  </si>
  <si>
    <t>Adj. EPS</t>
  </si>
  <si>
    <t>Getty Images</t>
  </si>
  <si>
    <t>Shutterstock</t>
  </si>
  <si>
    <t>EBITDA (Synergized)</t>
  </si>
  <si>
    <t>SSTK - ETR</t>
  </si>
  <si>
    <t>Combined</t>
  </si>
  <si>
    <t>D&amp;A</t>
  </si>
  <si>
    <t>Debt Schedule</t>
  </si>
  <si>
    <t>Getty</t>
  </si>
  <si>
    <t>Getty Debt</t>
  </si>
  <si>
    <t>Term Loan - A&amp;R Credit Facility</t>
  </si>
  <si>
    <t>Principal</t>
  </si>
  <si>
    <t>9/30 outstanding</t>
  </si>
  <si>
    <t>Revolver - A&amp;R Credit Agreement</t>
  </si>
  <si>
    <t>Interest Rate</t>
  </si>
  <si>
    <t>Unused Commitment Fee</t>
  </si>
  <si>
    <t>Senior Notes</t>
  </si>
  <si>
    <t>USD Term Loans</t>
  </si>
  <si>
    <t>EUR Term Loans</t>
  </si>
  <si>
    <t>Revolving Credit Facility</t>
  </si>
  <si>
    <t>Shutterstock Debt</t>
  </si>
  <si>
    <t>Maturity</t>
  </si>
  <si>
    <t>Less: Interest</t>
  </si>
  <si>
    <t>Less: Tax</t>
  </si>
  <si>
    <t>Less: CapEx</t>
  </si>
  <si>
    <t>Less: Change in NWC</t>
  </si>
  <si>
    <t>Levered Free Cash Flow</t>
  </si>
  <si>
    <t>CapEx</t>
  </si>
  <si>
    <t>Working Capital</t>
  </si>
  <si>
    <t>Change in AR</t>
  </si>
  <si>
    <t>Change in AP</t>
  </si>
  <si>
    <t>Memo: Rev</t>
  </si>
  <si>
    <t>Change in Def. Rev</t>
  </si>
  <si>
    <t>Total Change in NWC</t>
  </si>
  <si>
    <t>Change in NWC % of Rev</t>
  </si>
  <si>
    <t>Average</t>
  </si>
  <si>
    <t>Change in NWC</t>
  </si>
  <si>
    <t>Memo: FDSO</t>
  </si>
  <si>
    <t>Capacity</t>
  </si>
  <si>
    <t>Shutterstock Revolver</t>
  </si>
  <si>
    <t>Beginning of Period</t>
  </si>
  <si>
    <t>Change</t>
  </si>
  <si>
    <t>End of Period</t>
  </si>
  <si>
    <t>Cash Interest</t>
  </si>
  <si>
    <t>SOFR Curve</t>
  </si>
  <si>
    <t>EURIBOR Curve</t>
  </si>
  <si>
    <t>Cash available after SSTK Revolver</t>
  </si>
  <si>
    <t>Undrawn Fee</t>
  </si>
  <si>
    <t>Getty Revolver</t>
  </si>
  <si>
    <t>Shutterstock TL</t>
  </si>
  <si>
    <t>Getty Senior Notes</t>
  </si>
  <si>
    <t>Cash available after SSTK TL</t>
  </si>
  <si>
    <t>Cash available after Getty Senior Notes</t>
  </si>
  <si>
    <t>Getty USD TL</t>
  </si>
  <si>
    <t>Getty EUR TL</t>
  </si>
  <si>
    <t>Cash available after USD TL</t>
  </si>
  <si>
    <t>Cash available after Getty EUR TL</t>
  </si>
  <si>
    <t>New Junk Bonds</t>
  </si>
  <si>
    <t>Cash - Beginning of Period</t>
  </si>
  <si>
    <t>Change in Cash</t>
  </si>
  <si>
    <t>Cash - End of Period</t>
  </si>
  <si>
    <t>Total Interest</t>
  </si>
  <si>
    <t>Total Debt</t>
  </si>
  <si>
    <t>Net Debt / EBITDA</t>
  </si>
  <si>
    <t>Shutterstock EBITDA</t>
  </si>
  <si>
    <t>Getty Images EBITDA</t>
  </si>
  <si>
    <t>TEV / EBITDA Multiple</t>
  </si>
  <si>
    <t>TEV/EBITDA</t>
  </si>
  <si>
    <t>Equity Value</t>
  </si>
  <si>
    <t>Getty Images EqV</t>
  </si>
  <si>
    <t>Current Getty EqV</t>
  </si>
  <si>
    <t>Value Creation ($)</t>
  </si>
  <si>
    <t>Value Creation (%)</t>
  </si>
  <si>
    <t>IRR</t>
  </si>
  <si>
    <t>Implied Share Price</t>
  </si>
  <si>
    <t>IRR Calculation</t>
  </si>
  <si>
    <t>2025 EBITDA</t>
  </si>
  <si>
    <t>Getty Images EV / NTM EBITDA</t>
  </si>
  <si>
    <t>Shutterstock EV / NTM EBITDA</t>
  </si>
  <si>
    <t>Pro Forma EV / NTM EBITDA</t>
  </si>
  <si>
    <t>2026 Synergies Realized</t>
  </si>
  <si>
    <t>Stub</t>
  </si>
  <si>
    <t>Paydown? (0=No)</t>
  </si>
  <si>
    <t>Synergies 2025E</t>
  </si>
  <si>
    <t>Synergies 2026E</t>
  </si>
  <si>
    <t>Credit Statistics</t>
  </si>
  <si>
    <t>Total Debt / EBITDA</t>
  </si>
  <si>
    <t>Total Debt / (EBITDA - CapEx)</t>
  </si>
  <si>
    <t>Net Debt / (EBITDA - CapEx)</t>
  </si>
  <si>
    <t>Debt Coverage</t>
  </si>
  <si>
    <t>Interest Coverage</t>
  </si>
  <si>
    <t>EBIT / Interest Expense</t>
  </si>
  <si>
    <t>EBITDA / Interest Expense</t>
  </si>
  <si>
    <t>(EBITDA - CapEx) / Interest Expense</t>
  </si>
  <si>
    <t>Cash Paid to Shareholders</t>
  </si>
  <si>
    <t>Cash Paid to SSTK Shareholders</t>
  </si>
  <si>
    <t>SSTK FDSO</t>
  </si>
  <si>
    <t>Transaction Expenses</t>
  </si>
  <si>
    <t>Total Cash to Shareholders</t>
  </si>
  <si>
    <t>Shares offered per SSTK Share Exchange Ratio (Mixed Offer)</t>
  </si>
  <si>
    <t>Stock Portion</t>
  </si>
  <si>
    <t>Total Value (Mixed offer)</t>
  </si>
  <si>
    <t>Total Value to Shareholders</t>
  </si>
  <si>
    <t>Change in Control Payments</t>
  </si>
  <si>
    <t>xx</t>
  </si>
  <si>
    <t>Median</t>
  </si>
  <si>
    <t>Total Cash Outlay at Closing</t>
  </si>
  <si>
    <t>Less: Cash outlay at SSTK merger closing</t>
  </si>
  <si>
    <t>Weighted Average Multiple</t>
  </si>
  <si>
    <t>Value Creation</t>
  </si>
  <si>
    <t>Downside</t>
  </si>
  <si>
    <t>Upside</t>
  </si>
  <si>
    <t>Risk / Reward</t>
  </si>
  <si>
    <t>IRR Sensitivities</t>
  </si>
  <si>
    <t>2026E Share Price Sensitivities</t>
  </si>
  <si>
    <t>Consensus Sales</t>
  </si>
  <si>
    <t>Consensus EBITDA</t>
  </si>
  <si>
    <t>EBITDA Margin %</t>
  </si>
  <si>
    <t xml:space="preserve">Sales - Downside Case </t>
  </si>
  <si>
    <t>EBITDA - Downside Case</t>
  </si>
  <si>
    <t>Consensus EBITDA Margin</t>
  </si>
  <si>
    <t>Consensus Sales Growth</t>
  </si>
  <si>
    <t>Case (1 = CONS, 2 = Downside)</t>
  </si>
  <si>
    <t>ACTIVE CASE</t>
  </si>
  <si>
    <t>CONSENSUS</t>
  </si>
  <si>
    <t>DOWNSIDE CASE</t>
  </si>
  <si>
    <t>Pro Forma Capitalization - Consensus</t>
  </si>
  <si>
    <t>CAGR</t>
  </si>
  <si>
    <t>Consensus Adj. EPS</t>
  </si>
  <si>
    <t>Share Prices</t>
  </si>
  <si>
    <t>EV</t>
  </si>
  <si>
    <t>EqV</t>
  </si>
  <si>
    <t>Shutterstock Images EBITDA</t>
  </si>
  <si>
    <t>Shutterstock - Standalone</t>
  </si>
  <si>
    <t>Getty Images - Standalone</t>
  </si>
  <si>
    <t>MergeCo - Consensus</t>
  </si>
  <si>
    <t>MergeCo - Downside</t>
  </si>
  <si>
    <t>2024E</t>
  </si>
  <si>
    <t>2025E</t>
  </si>
  <si>
    <t>2026E</t>
  </si>
  <si>
    <t>Consensus EPS</t>
  </si>
  <si>
    <t>MergeCo.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</si>
</sst>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0.0%"/>
    <numFmt numFmtId="166" formatCode="_(0_);_(\(0\);_(&quot;-&quot;_);@_)"/>
    <numFmt numFmtId="167" formatCode="_(#,##0_);_(\(#,##0\);_(&quot;-&quot;_);_(@_)"/>
    <numFmt numFmtId="168" formatCode="0.000"/>
    <numFmt numFmtId="169" formatCode="0.0\x"/>
    <numFmt numFmtId="170" formatCode="0&quot;E&quot;"/>
    <numFmt numFmtId="171" formatCode="&quot;SOFR+&quot;0"/>
    <numFmt numFmtId="172" formatCode="&quot;EURIBOR+&quot;0"/>
    <numFmt numFmtId="173" formatCode="&quot;$&quot;#,##0"/>
    <numFmt numFmtId="174" formatCode="&quot;$&quot;#,##0.00"/>
    <numFmt numFmtId="175" formatCode="0.00\x"/>
    <numFmt numFmtId="176" formatCode="&quot;$&quot;0.00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color rgb="FF0000FF"/>
      <name val="Arial"/>
      <family val="2"/>
    </font>
    <font>
      <sz val="11"/>
      <color rgb="FF7030A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color rgb="FF0000FF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rgb="FF0000FF"/>
      <name val="Arial"/>
      <family val="2"/>
    </font>
    <font>
      <sz val="11"/>
      <color theme="0" tint="-4.9989318521683403E-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0">
    <xf numFmtId="0" fontId="0" fillId="0" borderId="0" xfId="0"/>
    <xf numFmtId="0" fontId="5" fillId="0" borderId="0" xfId="0" applyFont="1"/>
    <xf numFmtId="0" fontId="6" fillId="0" borderId="0" xfId="0" applyFont="1" applyAlignment="1">
      <alignment horizontal="right"/>
    </xf>
    <xf numFmtId="8" fontId="6" fillId="0" borderId="0" xfId="0" applyNumberFormat="1" applyFont="1" applyAlignment="1">
      <alignment horizontal="right"/>
    </xf>
    <xf numFmtId="14" fontId="7" fillId="0" borderId="0" xfId="0" applyNumberFormat="1" applyFont="1"/>
    <xf numFmtId="0" fontId="5" fillId="2" borderId="3" xfId="0" applyFont="1" applyFill="1" applyBorder="1"/>
    <xf numFmtId="0" fontId="5" fillId="2" borderId="4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8" fillId="2" borderId="3" xfId="0" applyFont="1" applyFill="1" applyBorder="1"/>
    <xf numFmtId="164" fontId="5" fillId="0" borderId="0" xfId="0" applyNumberFormat="1" applyFont="1"/>
    <xf numFmtId="8" fontId="5" fillId="0" borderId="0" xfId="0" applyNumberFormat="1" applyFont="1"/>
    <xf numFmtId="0" fontId="5" fillId="0" borderId="1" xfId="0" applyFont="1" applyBorder="1"/>
    <xf numFmtId="9" fontId="6" fillId="0" borderId="1" xfId="3" applyFont="1" applyBorder="1"/>
    <xf numFmtId="0" fontId="5" fillId="0" borderId="2" xfId="0" applyFont="1" applyBorder="1"/>
    <xf numFmtId="164" fontId="5" fillId="0" borderId="2" xfId="0" applyNumberFormat="1" applyFont="1" applyBorder="1"/>
    <xf numFmtId="2" fontId="5" fillId="0" borderId="0" xfId="0" applyNumberFormat="1" applyFont="1"/>
    <xf numFmtId="0" fontId="8" fillId="0" borderId="6" xfId="0" applyFont="1" applyBorder="1"/>
    <xf numFmtId="6" fontId="8" fillId="0" borderId="6" xfId="0" applyNumberFormat="1" applyFont="1" applyBorder="1"/>
    <xf numFmtId="1" fontId="6" fillId="0" borderId="0" xfId="0" applyNumberFormat="1" applyFont="1"/>
    <xf numFmtId="2" fontId="8" fillId="0" borderId="6" xfId="0" applyNumberFormat="1" applyFont="1" applyBorder="1"/>
    <xf numFmtId="0" fontId="8" fillId="0" borderId="0" xfId="0" applyFont="1"/>
    <xf numFmtId="1" fontId="0" fillId="0" borderId="0" xfId="0" applyNumberFormat="1"/>
    <xf numFmtId="43" fontId="5" fillId="0" borderId="0" xfId="1" applyFont="1"/>
    <xf numFmtId="1" fontId="5" fillId="0" borderId="0" xfId="0" applyNumberFormat="1" applyFont="1"/>
    <xf numFmtId="168" fontId="5" fillId="0" borderId="0" xfId="0" applyNumberFormat="1" applyFont="1"/>
    <xf numFmtId="0" fontId="4" fillId="4" borderId="1" xfId="0" applyFont="1" applyFill="1" applyBorder="1"/>
    <xf numFmtId="0" fontId="9" fillId="4" borderId="1" xfId="0" applyFont="1" applyFill="1" applyBorder="1"/>
    <xf numFmtId="0" fontId="8" fillId="2" borderId="1" xfId="0" applyFont="1" applyFill="1" applyBorder="1"/>
    <xf numFmtId="173" fontId="5" fillId="0" borderId="0" xfId="0" applyNumberFormat="1" applyFont="1"/>
    <xf numFmtId="9" fontId="5" fillId="0" borderId="0" xfId="3" applyFont="1"/>
    <xf numFmtId="14" fontId="5" fillId="0" borderId="0" xfId="0" applyNumberFormat="1" applyFont="1" applyAlignment="1">
      <alignment horizontal="left"/>
    </xf>
    <xf numFmtId="0" fontId="8" fillId="0" borderId="2" xfId="0" applyFont="1" applyBorder="1"/>
    <xf numFmtId="173" fontId="8" fillId="0" borderId="2" xfId="0" applyNumberFormat="1" applyFont="1" applyBorder="1"/>
    <xf numFmtId="9" fontId="8" fillId="0" borderId="2" xfId="3" applyFont="1" applyBorder="1"/>
    <xf numFmtId="0" fontId="6" fillId="3" borderId="0" xfId="0" applyFont="1" applyFill="1"/>
    <xf numFmtId="176" fontId="6" fillId="3" borderId="0" xfId="0" applyNumberFormat="1" applyFont="1" applyFill="1"/>
    <xf numFmtId="8" fontId="5" fillId="0" borderId="2" xfId="0" applyNumberFormat="1" applyFont="1" applyBorder="1"/>
    <xf numFmtId="0" fontId="10" fillId="0" borderId="0" xfId="0" applyFont="1" applyAlignment="1">
      <alignment horizontal="left"/>
    </xf>
    <xf numFmtId="166" fontId="11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167" fontId="11" fillId="0" borderId="0" xfId="0" applyNumberFormat="1" applyFont="1"/>
    <xf numFmtId="0" fontId="12" fillId="0" borderId="0" xfId="0" applyFont="1"/>
    <xf numFmtId="0" fontId="8" fillId="0" borderId="2" xfId="0" applyFont="1" applyBorder="1" applyAlignment="1">
      <alignment horizontal="left"/>
    </xf>
    <xf numFmtId="167" fontId="8" fillId="0" borderId="2" xfId="0" applyNumberFormat="1" applyFont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4" fillId="4" borderId="0" xfId="0" quotePrefix="1" applyFont="1" applyFill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0" borderId="10" xfId="0" applyFont="1" applyBorder="1"/>
    <xf numFmtId="3" fontId="5" fillId="0" borderId="0" xfId="0" applyNumberFormat="1" applyFont="1"/>
    <xf numFmtId="3" fontId="5" fillId="0" borderId="10" xfId="0" applyNumberFormat="1" applyFont="1" applyBorder="1"/>
    <xf numFmtId="174" fontId="5" fillId="0" borderId="0" xfId="0" applyNumberFormat="1" applyFont="1" applyAlignment="1">
      <alignment horizontal="right"/>
    </xf>
    <xf numFmtId="174" fontId="5" fillId="0" borderId="10" xfId="0" applyNumberFormat="1" applyFont="1" applyBorder="1" applyAlignment="1">
      <alignment horizontal="right"/>
    </xf>
    <xf numFmtId="6" fontId="8" fillId="0" borderId="2" xfId="0" applyNumberFormat="1" applyFont="1" applyBorder="1"/>
    <xf numFmtId="6" fontId="5" fillId="0" borderId="0" xfId="0" applyNumberFormat="1" applyFont="1"/>
    <xf numFmtId="6" fontId="8" fillId="0" borderId="0" xfId="0" applyNumberFormat="1" applyFont="1"/>
    <xf numFmtId="6" fontId="8" fillId="0" borderId="11" xfId="0" applyNumberFormat="1" applyFont="1" applyBorder="1"/>
    <xf numFmtId="0" fontId="8" fillId="2" borderId="0" xfId="0" applyFont="1" applyFill="1"/>
    <xf numFmtId="0" fontId="5" fillId="2" borderId="0" xfId="0" applyFont="1" applyFill="1"/>
    <xf numFmtId="0" fontId="8" fillId="2" borderId="10" xfId="0" applyFont="1" applyFill="1" applyBorder="1"/>
    <xf numFmtId="165" fontId="5" fillId="0" borderId="0" xfId="3" applyNumberFormat="1" applyFont="1"/>
    <xf numFmtId="10" fontId="5" fillId="0" borderId="0" xfId="0" applyNumberFormat="1" applyFont="1"/>
    <xf numFmtId="0" fontId="13" fillId="5" borderId="0" xfId="0" applyFont="1" applyFill="1"/>
    <xf numFmtId="0" fontId="8" fillId="5" borderId="0" xfId="0" applyFont="1" applyFill="1"/>
    <xf numFmtId="0" fontId="5" fillId="5" borderId="0" xfId="0" applyFont="1" applyFill="1"/>
    <xf numFmtId="0" fontId="8" fillId="5" borderId="10" xfId="0" applyFont="1" applyFill="1" applyBorder="1"/>
    <xf numFmtId="0" fontId="14" fillId="0" borderId="0" xfId="0" applyFont="1" applyAlignment="1">
      <alignment horizontal="left"/>
    </xf>
    <xf numFmtId="169" fontId="14" fillId="0" borderId="0" xfId="0" applyNumberFormat="1" applyFont="1"/>
    <xf numFmtId="0" fontId="14" fillId="0" borderId="0" xfId="0" applyFont="1"/>
    <xf numFmtId="169" fontId="14" fillId="0" borderId="10" xfId="0" applyNumberFormat="1" applyFont="1" applyBorder="1"/>
    <xf numFmtId="0" fontId="14" fillId="0" borderId="10" xfId="0" applyFont="1" applyBorder="1"/>
    <xf numFmtId="169" fontId="14" fillId="0" borderId="12" xfId="0" applyNumberFormat="1" applyFont="1" applyBorder="1"/>
    <xf numFmtId="43" fontId="5" fillId="0" borderId="0" xfId="0" applyNumberFormat="1" applyFont="1"/>
    <xf numFmtId="171" fontId="5" fillId="0" borderId="0" xfId="0" applyNumberFormat="1" applyFont="1"/>
    <xf numFmtId="9" fontId="5" fillId="0" borderId="0" xfId="0" applyNumberFormat="1" applyFont="1"/>
    <xf numFmtId="15" fontId="5" fillId="0" borderId="0" xfId="0" applyNumberFormat="1" applyFont="1"/>
    <xf numFmtId="172" fontId="5" fillId="0" borderId="0" xfId="0" applyNumberFormat="1" applyFont="1"/>
    <xf numFmtId="170" fontId="4" fillId="4" borderId="1" xfId="0" applyNumberFormat="1" applyFont="1" applyFill="1" applyBorder="1"/>
    <xf numFmtId="9" fontId="6" fillId="3" borderId="0" xfId="0" applyNumberFormat="1" applyFont="1" applyFill="1"/>
    <xf numFmtId="174" fontId="6" fillId="3" borderId="0" xfId="0" applyNumberFormat="1" applyFont="1" applyFill="1"/>
    <xf numFmtId="4" fontId="11" fillId="0" borderId="0" xfId="0" applyNumberFormat="1" applyFont="1"/>
    <xf numFmtId="4" fontId="6" fillId="0" borderId="0" xfId="0" applyNumberFormat="1" applyFont="1"/>
    <xf numFmtId="4" fontId="6" fillId="3" borderId="0" xfId="0" applyNumberFormat="1" applyFont="1" applyFill="1"/>
    <xf numFmtId="4" fontId="15" fillId="0" borderId="0" xfId="0" applyNumberFormat="1" applyFont="1"/>
    <xf numFmtId="3" fontId="5" fillId="0" borderId="2" xfId="0" applyNumberFormat="1" applyFont="1" applyBorder="1"/>
    <xf numFmtId="174" fontId="5" fillId="0" borderId="2" xfId="0" applyNumberFormat="1" applyFont="1" applyBorder="1"/>
    <xf numFmtId="0" fontId="14" fillId="0" borderId="0" xfId="0" applyFont="1" applyAlignment="1">
      <alignment horizontal="left" indent="1"/>
    </xf>
    <xf numFmtId="3" fontId="14" fillId="0" borderId="0" xfId="0" applyNumberFormat="1" applyFont="1"/>
    <xf numFmtId="0" fontId="11" fillId="2" borderId="6" xfId="0" applyFont="1" applyFill="1" applyBorder="1"/>
    <xf numFmtId="170" fontId="10" fillId="2" borderId="1" xfId="0" applyNumberFormat="1" applyFont="1" applyFill="1" applyBorder="1"/>
    <xf numFmtId="0" fontId="10" fillId="2" borderId="0" xfId="0" applyFont="1" applyFill="1"/>
    <xf numFmtId="165" fontId="5" fillId="0" borderId="0" xfId="0" applyNumberFormat="1" applyFont="1"/>
    <xf numFmtId="0" fontId="8" fillId="0" borderId="3" xfId="0" applyFont="1" applyBorder="1"/>
    <xf numFmtId="0" fontId="8" fillId="0" borderId="4" xfId="0" applyFont="1" applyBorder="1"/>
    <xf numFmtId="165" fontId="8" fillId="0" borderId="5" xfId="0" applyNumberFormat="1" applyFont="1" applyBorder="1"/>
    <xf numFmtId="0" fontId="10" fillId="2" borderId="1" xfId="0" applyFont="1" applyFill="1" applyBorder="1"/>
    <xf numFmtId="169" fontId="5" fillId="0" borderId="0" xfId="0" applyNumberFormat="1" applyFont="1"/>
    <xf numFmtId="3" fontId="8" fillId="0" borderId="2" xfId="0" applyNumberFormat="1" applyFont="1" applyBorder="1"/>
    <xf numFmtId="0" fontId="14" fillId="0" borderId="1" xfId="0" applyFont="1" applyBorder="1"/>
    <xf numFmtId="3" fontId="5" fillId="0" borderId="1" xfId="0" applyNumberFormat="1" applyFont="1" applyBorder="1"/>
    <xf numFmtId="165" fontId="14" fillId="0" borderId="0" xfId="3" applyNumberFormat="1" applyFont="1"/>
    <xf numFmtId="0" fontId="8" fillId="0" borderId="13" xfId="0" applyFont="1" applyBorder="1"/>
    <xf numFmtId="3" fontId="8" fillId="0" borderId="14" xfId="0" applyNumberFormat="1" applyFont="1" applyBorder="1"/>
    <xf numFmtId="3" fontId="8" fillId="0" borderId="15" xfId="0" applyNumberFormat="1" applyFont="1" applyBorder="1"/>
    <xf numFmtId="0" fontId="8" fillId="0" borderId="16" xfId="0" applyFont="1" applyBorder="1"/>
    <xf numFmtId="3" fontId="8" fillId="0" borderId="17" xfId="0" applyNumberFormat="1" applyFont="1" applyBorder="1"/>
    <xf numFmtId="9" fontId="8" fillId="0" borderId="17" xfId="3" applyFont="1" applyBorder="1"/>
    <xf numFmtId="9" fontId="8" fillId="0" borderId="18" xfId="3" applyFont="1" applyBorder="1"/>
    <xf numFmtId="174" fontId="5" fillId="0" borderId="0" xfId="0" applyNumberFormat="1" applyFont="1"/>
    <xf numFmtId="3" fontId="9" fillId="4" borderId="1" xfId="0" applyNumberFormat="1" applyFont="1" applyFill="1" applyBorder="1"/>
    <xf numFmtId="14" fontId="8" fillId="2" borderId="0" xfId="0" applyNumberFormat="1" applyFont="1" applyFill="1"/>
    <xf numFmtId="9" fontId="8" fillId="0" borderId="5" xfId="3" applyFont="1" applyBorder="1"/>
    <xf numFmtId="0" fontId="4" fillId="4" borderId="0" xfId="0" applyFont="1" applyFill="1" applyAlignment="1">
      <alignment horizontal="right"/>
    </xf>
    <xf numFmtId="169" fontId="5" fillId="0" borderId="2" xfId="0" applyNumberFormat="1" applyFont="1" applyBorder="1"/>
    <xf numFmtId="0" fontId="5" fillId="4" borderId="0" xfId="0" applyFont="1" applyFill="1"/>
    <xf numFmtId="9" fontId="16" fillId="2" borderId="8" xfId="0" applyNumberFormat="1" applyFont="1" applyFill="1" applyBorder="1"/>
    <xf numFmtId="175" fontId="8" fillId="2" borderId="2" xfId="0" applyNumberFormat="1" applyFont="1" applyFill="1" applyBorder="1"/>
    <xf numFmtId="175" fontId="8" fillId="2" borderId="7" xfId="0" applyNumberFormat="1" applyFont="1" applyFill="1" applyBorder="1"/>
    <xf numFmtId="9" fontId="5" fillId="0" borderId="8" xfId="3" applyFont="1" applyBorder="1"/>
    <xf numFmtId="9" fontId="5" fillId="0" borderId="2" xfId="3" applyFont="1" applyBorder="1"/>
    <xf numFmtId="9" fontId="5" fillId="0" borderId="7" xfId="3" applyFont="1" applyBorder="1"/>
    <xf numFmtId="173" fontId="8" fillId="2" borderId="7" xfId="0" applyNumberFormat="1" applyFont="1" applyFill="1" applyBorder="1"/>
    <xf numFmtId="3" fontId="8" fillId="2" borderId="7" xfId="0" applyNumberFormat="1" applyFont="1" applyFill="1" applyBorder="1"/>
    <xf numFmtId="14" fontId="5" fillId="0" borderId="0" xfId="0" applyNumberFormat="1" applyFont="1"/>
    <xf numFmtId="44" fontId="5" fillId="0" borderId="0" xfId="2" applyFont="1"/>
    <xf numFmtId="169" fontId="6" fillId="3" borderId="0" xfId="0" applyNumberFormat="1" applyFont="1" applyFill="1"/>
    <xf numFmtId="0" fontId="8" fillId="0" borderId="1" xfId="0" applyFont="1" applyBorder="1"/>
    <xf numFmtId="174" fontId="16" fillId="2" borderId="8" xfId="0" applyNumberFormat="1" applyFont="1" applyFill="1" applyBorder="1"/>
    <xf numFmtId="174" fontId="5" fillId="0" borderId="8" xfId="3" applyNumberFormat="1" applyFont="1" applyBorder="1"/>
    <xf numFmtId="174" fontId="5" fillId="0" borderId="2" xfId="3" applyNumberFormat="1" applyFont="1" applyBorder="1"/>
    <xf numFmtId="174" fontId="5" fillId="0" borderId="7" xfId="3" applyNumberFormat="1" applyFont="1" applyBorder="1"/>
    <xf numFmtId="174" fontId="5" fillId="0" borderId="0" xfId="3" applyNumberFormat="1" applyFont="1"/>
    <xf numFmtId="9" fontId="5" fillId="0" borderId="0" xfId="3" applyFont="1" applyBorder="1"/>
    <xf numFmtId="0" fontId="5" fillId="0" borderId="19" xfId="0" applyFont="1" applyBorder="1"/>
    <xf numFmtId="0" fontId="5" fillId="0" borderId="20" xfId="0" applyFont="1" applyBorder="1"/>
    <xf numFmtId="0" fontId="8" fillId="2" borderId="19" xfId="0" applyFont="1" applyFill="1" applyBorder="1"/>
    <xf numFmtId="0" fontId="8" fillId="2" borderId="20" xfId="0" applyFont="1" applyFill="1" applyBorder="1"/>
    <xf numFmtId="3" fontId="5" fillId="0" borderId="20" xfId="0" applyNumberFormat="1" applyFont="1" applyBorder="1"/>
    <xf numFmtId="0" fontId="5" fillId="0" borderId="21" xfId="0" applyFont="1" applyBorder="1"/>
    <xf numFmtId="3" fontId="5" fillId="0" borderId="22" xfId="0" applyNumberFormat="1" applyFont="1" applyBorder="1"/>
    <xf numFmtId="0" fontId="5" fillId="0" borderId="23" xfId="0" applyFont="1" applyBorder="1"/>
    <xf numFmtId="0" fontId="4" fillId="6" borderId="13" xfId="0" applyFont="1" applyFill="1" applyBorder="1"/>
    <xf numFmtId="0" fontId="9" fillId="6" borderId="14" xfId="0" applyFont="1" applyFill="1" applyBorder="1"/>
    <xf numFmtId="0" fontId="9" fillId="6" borderId="15" xfId="0" applyFont="1" applyFill="1" applyBorder="1"/>
    <xf numFmtId="9" fontId="5" fillId="0" borderId="20" xfId="3" applyFont="1" applyBorder="1"/>
    <xf numFmtId="9" fontId="5" fillId="0" borderId="22" xfId="3" applyFont="1" applyBorder="1"/>
    <xf numFmtId="9" fontId="5" fillId="0" borderId="24" xfId="3" applyFont="1" applyBorder="1"/>
    <xf numFmtId="9" fontId="5" fillId="0" borderId="25" xfId="3" applyFont="1" applyBorder="1"/>
    <xf numFmtId="0" fontId="4" fillId="7" borderId="13" xfId="0" applyFont="1" applyFill="1" applyBorder="1"/>
    <xf numFmtId="0" fontId="5" fillId="7" borderId="14" xfId="0" applyFont="1" applyFill="1" applyBorder="1"/>
    <xf numFmtId="0" fontId="5" fillId="7" borderId="15" xfId="0" applyFont="1" applyFill="1" applyBorder="1"/>
    <xf numFmtId="0" fontId="4" fillId="8" borderId="13" xfId="0" applyFont="1" applyFill="1" applyBorder="1"/>
    <xf numFmtId="0" fontId="5" fillId="8" borderId="14" xfId="0" applyFont="1" applyFill="1" applyBorder="1"/>
    <xf numFmtId="0" fontId="5" fillId="8" borderId="15" xfId="0" applyFont="1" applyFill="1" applyBorder="1"/>
    <xf numFmtId="3" fontId="5" fillId="3" borderId="0" xfId="0" applyNumberFormat="1" applyFont="1" applyFill="1"/>
    <xf numFmtId="9" fontId="6" fillId="3" borderId="0" xfId="3" applyFont="1" applyFill="1" applyBorder="1"/>
    <xf numFmtId="9" fontId="6" fillId="3" borderId="20" xfId="3" applyFont="1" applyFill="1" applyBorder="1"/>
    <xf numFmtId="0" fontId="10" fillId="0" borderId="0" xfId="0" applyFont="1" applyAlignment="1">
      <alignment horizontal="left" wrapText="1"/>
    </xf>
    <xf numFmtId="166" fontId="10" fillId="0" borderId="0" xfId="0" applyNumberFormat="1" applyFont="1" applyAlignment="1">
      <alignment horizontal="right" wrapText="1"/>
    </xf>
    <xf numFmtId="170" fontId="4" fillId="4" borderId="1" xfId="0" applyNumberFormat="1" applyFont="1" applyFill="1" applyBorder="1" applyAlignment="1">
      <alignment wrapText="1"/>
    </xf>
    <xf numFmtId="0" fontId="4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44" fontId="5" fillId="0" borderId="0" xfId="0" applyNumberFormat="1" applyFont="1"/>
    <xf numFmtId="0" fontId="5" fillId="0" borderId="26" xfId="0" applyFont="1" applyBorder="1"/>
    <xf numFmtId="0" fontId="5" fillId="0" borderId="6" xfId="0" applyFont="1" applyBorder="1"/>
    <xf numFmtId="174" fontId="5" fillId="0" borderId="6" xfId="0" applyNumberFormat="1" applyFont="1" applyBorder="1"/>
    <xf numFmtId="174" fontId="5" fillId="0" borderId="27" xfId="0" applyNumberFormat="1" applyFont="1" applyBorder="1"/>
    <xf numFmtId="174" fontId="5" fillId="0" borderId="0" xfId="2" applyNumberFormat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Model!$L$103:$M$103</c:f>
              <c:strCache>
                <c:ptCount val="2"/>
                <c:pt idx="0">
                  <c:v>Consensus EPS</c:v>
                </c:pt>
                <c:pt idx="1">
                  <c:v>MergeCo.</c:v>
                </c:pt>
              </c:strCache>
            </c:strRef>
          </c:cat>
          <c:val>
            <c:numRef>
              <c:f>Model!$L$104:$M$104</c:f>
              <c:numCache>
                <c:formatCode>"$"#,##0.00</c:formatCode>
                <c:ptCount val="2"/>
                <c:pt idx="0" formatCode="_(&quot;$&quot;* #,##0.00_);_(&quot;$&quot;* \(#,##0.00\);_(&quot;$&quot;* &quot;-&quot;??_);_(@_)">
                  <c:v>0.14000000000000001</c:v>
                </c:pt>
                <c:pt idx="1">
                  <c:v>0.19210835173136195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37-4D55-A60E-2621E19B3D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178719"/>
        <c:axId val="97184175"/>
      </c:barChart>
      <c:catAx>
        <c:axId val="971787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97184175"/>
        <c:crosses val="autoZero"/>
        <c:auto val="1"/>
        <c:lblAlgn val="ctr"/>
        <c:lblOffset val="100"/>
        <c:noMultiLvlLbl val="0"/>
      </c:catAx>
      <c:valAx>
        <c:axId val="97184175"/>
        <c:scaling>
          <c:orientation val="minMax"/>
        </c:scaling>
        <c:delete val="0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971787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'Value Creation'!$Z$96</c:f>
              <c:strCache>
                <c:ptCount val="1"/>
                <c:pt idx="0">
                  <c:v>Getty Images - Standalone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2"/>
              <c:layout>
                <c:manualLayout>
                  <c:x val="-8.976881170757775E-3"/>
                  <c:y val="-1.22031716654978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69D-484E-BF46-465FEE7593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'Value Creation'!$AA$89:$AC$89</c:f>
              <c:strCache>
                <c:ptCount val="3"/>
                <c:pt idx="0">
                  <c:v>2024E</c:v>
                </c:pt>
                <c:pt idx="1">
                  <c:v>2025E</c:v>
                </c:pt>
                <c:pt idx="2">
                  <c:v>2026E</c:v>
                </c:pt>
              </c:strCache>
            </c:strRef>
          </c:cat>
          <c:val>
            <c:numRef>
              <c:f>'Value Creation'!$AA$96:$AC$96</c:f>
              <c:numCache>
                <c:formatCode>_("$"* #,##0.00_);_("$"* \(#,##0.00\);_("$"* "-"??_);_(@_)</c:formatCode>
                <c:ptCount val="3"/>
                <c:pt idx="0">
                  <c:v>2.1</c:v>
                </c:pt>
                <c:pt idx="1">
                  <c:v>2.633793809945522</c:v>
                </c:pt>
                <c:pt idx="2">
                  <c:v>2.9130559562268572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9D-484E-BF46-465FEE759388}"/>
            </c:ext>
          </c:extLst>
        </c:ser>
        <c:ser>
          <c:idx val="2"/>
          <c:order val="2"/>
          <c:tx>
            <c:strRef>
              <c:f>'Value Creation'!$Z$106</c:f>
              <c:strCache>
                <c:ptCount val="1"/>
                <c:pt idx="0">
                  <c:v>MergeCo - Consensus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'Value Creation'!$AA$89:$AC$89</c:f>
              <c:strCache>
                <c:ptCount val="3"/>
                <c:pt idx="0">
                  <c:v>2024E</c:v>
                </c:pt>
                <c:pt idx="1">
                  <c:v>2025E</c:v>
                </c:pt>
                <c:pt idx="2">
                  <c:v>2026E</c:v>
                </c:pt>
              </c:strCache>
            </c:strRef>
          </c:cat>
          <c:val>
            <c:numRef>
              <c:f>'Value Creation'!$AA$106:$AC$106</c:f>
              <c:numCache>
                <c:formatCode>"$"#,##0.00</c:formatCode>
                <c:ptCount val="3"/>
                <c:pt idx="0" formatCode="_(&quot;$&quot;* #,##0.00_);_(&quot;$&quot;* \(#,##0.00\);_(&quot;$&quot;* &quot;-&quot;??_);_(@_)">
                  <c:v>2.1</c:v>
                </c:pt>
                <c:pt idx="1">
                  <c:v>2.7777834264044068</c:v>
                </c:pt>
                <c:pt idx="2">
                  <c:v>4.0444178443769303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9D-484E-BF46-465FEE759388}"/>
            </c:ext>
          </c:extLst>
        </c:ser>
        <c:ser>
          <c:idx val="3"/>
          <c:order val="3"/>
          <c:tx>
            <c:strRef>
              <c:f>'Value Creation'!$Z$107</c:f>
              <c:strCache>
                <c:ptCount val="1"/>
                <c:pt idx="0">
                  <c:v>MergeCo - Downside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'Value Creation'!$AA$89:$AC$89</c:f>
              <c:strCache>
                <c:ptCount val="3"/>
                <c:pt idx="0">
                  <c:v>2024E</c:v>
                </c:pt>
                <c:pt idx="1">
                  <c:v>2025E</c:v>
                </c:pt>
                <c:pt idx="2">
                  <c:v>2026E</c:v>
                </c:pt>
              </c:strCache>
            </c:strRef>
          </c:cat>
          <c:val>
            <c:numRef>
              <c:f>'Value Creation'!$AA$107:$AC$107</c:f>
              <c:numCache>
                <c:formatCode>"$"#,##0.00</c:formatCode>
                <c:ptCount val="3"/>
                <c:pt idx="0" formatCode="_(&quot;$&quot;* #,##0.00_);_(&quot;$&quot;* \(#,##0.00\);_(&quot;$&quot;* &quot;-&quot;??_);_(@_)">
                  <c:v>2.1</c:v>
                </c:pt>
                <c:pt idx="1">
                  <c:v>2.7777834264044068</c:v>
                </c:pt>
                <c:pt idx="2">
                  <c:v>4.0444178443769303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69D-484E-BF46-465FEE759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199503"/>
        <c:axId val="202196527"/>
      </c:lineChart>
      <c:lineChart>
        <c:grouping val="standard"/>
        <c:varyColors val="0"/>
        <c:ser>
          <c:idx val="1"/>
          <c:order val="1"/>
          <c:tx>
            <c:strRef>
              <c:f>'Value Creation'!$Z$104</c:f>
              <c:strCache>
                <c:ptCount val="1"/>
                <c:pt idx="0">
                  <c:v>Shutterstock - Standalone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'Value Creation'!$AA$89:$AC$89</c:f>
              <c:strCache>
                <c:ptCount val="3"/>
                <c:pt idx="0">
                  <c:v>2024E</c:v>
                </c:pt>
                <c:pt idx="1">
                  <c:v>2025E</c:v>
                </c:pt>
                <c:pt idx="2">
                  <c:v>2026E</c:v>
                </c:pt>
              </c:strCache>
            </c:strRef>
          </c:cat>
          <c:val>
            <c:numRef>
              <c:f>'Value Creation'!$AA$104:$AC$104</c:f>
              <c:numCache>
                <c:formatCode>_("$"* #,##0.00_);_("$"* \(#,##0.00\);_("$"* "-"??_);_(@_)</c:formatCode>
                <c:ptCount val="3"/>
                <c:pt idx="0">
                  <c:v>30.35</c:v>
                </c:pt>
                <c:pt idx="1">
                  <c:v>28.848699999999997</c:v>
                </c:pt>
                <c:pt idx="2">
                  <c:v>32.9255638581581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9D-484E-BF46-465FEE759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785647"/>
        <c:axId val="91783663"/>
      </c:lineChart>
      <c:catAx>
        <c:axId val="2021995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2196527"/>
        <c:crosses val="autoZero"/>
        <c:auto val="1"/>
        <c:lblAlgn val="ctr"/>
        <c:lblOffset val="100"/>
        <c:noMultiLvlLbl val="0"/>
      </c:catAx>
      <c:valAx>
        <c:axId val="202196527"/>
        <c:scaling>
          <c:orientation val="minMax"/>
        </c:scaling>
        <c:delete val="0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2199503"/>
        <c:crosses val="autoZero"/>
        <c:crossBetween val="between"/>
      </c:valAx>
      <c:valAx>
        <c:axId val="91783663"/>
        <c:scaling>
          <c:orientation val="minMax"/>
        </c:scaling>
        <c:delete val="0"/>
        <c:axPos val="r"/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91785647"/>
        <c:crosses val="max"/>
        <c:crossBetween val="between"/>
      </c:valAx>
      <c:catAx>
        <c:axId val="9178564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1783663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'Exchange Ratio'!$E$3</c:f>
              <c:strCache>
                <c:ptCount val="1"/>
                <c:pt idx="0">
                  <c:v>Exchange Ratio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'Exchange Ratio'!$B$4:$B$9</c:f>
              <c:numCache>
                <c:formatCode>m/d/yyyy</c:formatCode>
                <c:ptCount val="6"/>
                <c:pt idx="0">
                  <c:v>45702</c:v>
                </c:pt>
                <c:pt idx="1">
                  <c:v>45657</c:v>
                </c:pt>
                <c:pt idx="2">
                  <c:v>45565</c:v>
                </c:pt>
                <c:pt idx="3">
                  <c:v>45473</c:v>
                </c:pt>
                <c:pt idx="4">
                  <c:v>45382</c:v>
                </c:pt>
                <c:pt idx="5">
                  <c:v>45291</c:v>
                </c:pt>
              </c:numCache>
            </c:numRef>
          </c:cat>
          <c:val>
            <c:numRef>
              <c:f>'Exchange Ratio'!$E$4:$E$9</c:f>
              <c:numCache>
                <c:formatCode>General</c:formatCode>
                <c:ptCount val="6"/>
                <c:pt idx="0">
                  <c:v>10.658273381294965</c:v>
                </c:pt>
                <c:pt idx="1">
                  <c:v>14.619047619047619</c:v>
                </c:pt>
                <c:pt idx="2">
                  <c:v>9.2369791666666661</c:v>
                </c:pt>
                <c:pt idx="3">
                  <c:v>12.087774294670847</c:v>
                </c:pt>
                <c:pt idx="4">
                  <c:v>13.073654390934845</c:v>
                </c:pt>
                <c:pt idx="5">
                  <c:v>9.617529880478088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48-43EA-9DB4-EF28E258CC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87691152"/>
        <c:axId val="1887677264"/>
      </c:lineChart>
      <c:dateAx>
        <c:axId val="18876911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87677264"/>
        <c:crosses val="autoZero"/>
        <c:auto val="1"/>
        <c:lblOffset val="100"/>
        <c:baseTimeUnit val="months"/>
      </c:dateAx>
      <c:valAx>
        <c:axId val="18876772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8769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469445</xdr:colOff>
      <xdr:row>75</xdr:row>
      <xdr:rowOff>9524</xdr:rowOff>
    </xdr:from>
    <xdr:to>
      <xdr:col>17</xdr:col>
      <xdr:colOff>421821</xdr:colOff>
      <xdr:row>95</xdr:row>
      <xdr:rowOff>40821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5EF1C62-DBB8-FDC2-F469-0498CDD5BA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465853</xdr:colOff>
      <xdr:row>77</xdr:row>
      <xdr:rowOff>151330</xdr:rowOff>
    </xdr:from>
    <xdr:to>
      <xdr:col>11</xdr:col>
      <xdr:colOff>266560</xdr:colOff>
      <xdr:row>100</xdr:row>
      <xdr:rowOff>100061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13BB14-F812-C4C9-7BD7-F8ECA4F16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088" y="13912154"/>
          <a:ext cx="7902560" cy="4173348"/>
        </a:xfrm>
        <a:prstGeom prst="rect">
          <a:avLst/>
        </a:prstGeom>
      </xdr:spPr>
    </xdr:pic>
    <xdr:clientData/>
  </xdr:twoCellAnchor>
  <xdr:twoCellAnchor>
    <xdr:from>
      <xdr:col>10</xdr:col>
      <xdr:colOff>308159</xdr:colOff>
      <xdr:row>101</xdr:row>
      <xdr:rowOff>44825</xdr:rowOff>
    </xdr:from>
    <xdr:to>
      <xdr:col>23</xdr:col>
      <xdr:colOff>459440</xdr:colOff>
      <xdr:row>124</xdr:row>
      <xdr:rowOff>44824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0E6A4D-A8D0-DA33-E0C0-37DC2380DD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5</xdr:row>
      <xdr:rowOff>171450</xdr:rowOff>
    </xdr:from>
    <xdr:to>
      <xdr:col>16</xdr:col>
      <xdr:colOff>161925</xdr:colOff>
      <xdr:row>23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1B1794-D6D8-C592-29E2-B237A76C18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msec.com/filing/114036124022471/1?table=205&amp;utm_source=table-download&amp;utm_medium=excel&amp;utm_campaign=tables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C057B-8780-48CA-BD11-7A5677B9E4B9}">
  <dimension ref="B2:L21"/>
  <sheetViews>
    <sheetView showGridLines="0" tabSelected="1" zoomScale="85" zoomScaleNormal="85" workbookViewId="0"/>
  </sheetViews>
  <sheetFormatPr defaultRowHeight="15" x14ac:dyDescent="0.25"/>
  <cols>
    <col min="2" max="2" width="12.28515625" bestFit="1" customWidth="1"/>
    <col min="3" max="3" width="12.28515625" customWidth="1"/>
    <col min="4" max="4" width="10" bestFit="1" customWidth="1"/>
    <col min="6" max="6" width="18" bestFit="1" customWidth="1"/>
    <col min="8" max="8" width="23.140625" bestFit="1" customWidth="1"/>
    <col min="9" max="9" width="21.28515625" customWidth="1"/>
  </cols>
  <sheetData>
    <row r="2" spans="2:12" x14ac:dyDescent="0.25">
      <c r="B2" s="45" t="s">
        <v>8</v>
      </c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2: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2:12" x14ac:dyDescent="0.25">
      <c r="B4" s="1" t="s">
        <v>6</v>
      </c>
      <c r="C4" s="2" t="s">
        <v>7</v>
      </c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 t="s">
        <v>9</v>
      </c>
      <c r="C5" s="3">
        <v>28.7</v>
      </c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 t="s">
        <v>10</v>
      </c>
      <c r="C6" s="4">
        <v>45702</v>
      </c>
      <c r="D6" s="1"/>
      <c r="E6" s="1"/>
      <c r="F6" s="1"/>
      <c r="G6" s="1"/>
      <c r="H6" s="1"/>
      <c r="I6" s="1"/>
      <c r="J6" s="1"/>
      <c r="K6" s="1"/>
      <c r="L6" s="1"/>
    </row>
    <row r="7" spans="2:12" x14ac:dyDescent="0.25">
      <c r="B7" s="1" t="s">
        <v>11</v>
      </c>
      <c r="C7">
        <v>34.860864999999997</v>
      </c>
      <c r="D7" s="1"/>
      <c r="E7" s="1"/>
      <c r="F7" s="1"/>
      <c r="G7" s="1"/>
      <c r="H7" s="1"/>
      <c r="I7" s="1"/>
      <c r="J7" s="1"/>
      <c r="K7" s="1"/>
      <c r="L7" s="1"/>
    </row>
    <row r="8" spans="2:12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2:12" ht="15.75" thickBot="1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2:12" ht="15.75" thickBot="1" x14ac:dyDescent="0.3">
      <c r="B10" s="5"/>
      <c r="C10" s="6"/>
      <c r="D10" s="7" t="s">
        <v>1</v>
      </c>
      <c r="E10" s="7" t="s">
        <v>2</v>
      </c>
      <c r="F10" s="7" t="s">
        <v>12</v>
      </c>
      <c r="G10" s="8" t="s">
        <v>3</v>
      </c>
      <c r="H10" s="1"/>
      <c r="I10" s="9" t="s">
        <v>13</v>
      </c>
      <c r="J10" s="7"/>
      <c r="K10" s="7"/>
      <c r="L10" s="8"/>
    </row>
    <row r="11" spans="2:12" x14ac:dyDescent="0.25">
      <c r="B11" s="1" t="s">
        <v>14</v>
      </c>
      <c r="C11" s="1"/>
      <c r="D11" s="10">
        <v>3.214</v>
      </c>
      <c r="E11" s="1"/>
      <c r="F11" s="1">
        <f>IF(E11&gt;$C$5,0,1)</f>
        <v>1</v>
      </c>
      <c r="G11" s="1">
        <f>F11*E11*D11</f>
        <v>0</v>
      </c>
      <c r="H11" s="1"/>
      <c r="I11" s="1" t="str">
        <f>"Current Price (as of "&amp;TEXT(C6,"m/d/yy")&amp;")"</f>
        <v>Current Price (as of 2/14/25)</v>
      </c>
      <c r="J11" s="1"/>
      <c r="K11" s="1"/>
      <c r="L11" s="11">
        <f>C5</f>
        <v>28.7</v>
      </c>
    </row>
    <row r="12" spans="2:12" x14ac:dyDescent="0.25">
      <c r="B12" s="1" t="s">
        <v>1</v>
      </c>
      <c r="C12" s="1"/>
      <c r="D12" s="10">
        <v>0.29899999999999999</v>
      </c>
      <c r="E12" s="1">
        <v>34.14</v>
      </c>
      <c r="F12" s="1">
        <f>IF(E12&gt;$C$5,0,1)</f>
        <v>0</v>
      </c>
      <c r="G12" s="1">
        <f>F12*E12*D12</f>
        <v>0</v>
      </c>
      <c r="H12" s="1"/>
      <c r="I12" s="12" t="s">
        <v>15</v>
      </c>
      <c r="J12" s="12"/>
      <c r="K12" s="12"/>
      <c r="L12" s="13">
        <f>L13/L11-1</f>
        <v>5.1811846689895358E-3</v>
      </c>
    </row>
    <row r="13" spans="2:12" x14ac:dyDescent="0.25">
      <c r="B13" s="1"/>
      <c r="C13" s="1"/>
      <c r="D13" s="1"/>
      <c r="E13" s="1"/>
      <c r="F13" s="1"/>
      <c r="G13" s="1"/>
      <c r="H13" s="1"/>
      <c r="I13" s="1" t="s">
        <v>16</v>
      </c>
      <c r="J13" s="1"/>
      <c r="K13" s="1"/>
      <c r="L13" s="11">
        <v>28.848700000000001</v>
      </c>
    </row>
    <row r="14" spans="2:12" x14ac:dyDescent="0.25">
      <c r="B14" s="14" t="s">
        <v>17</v>
      </c>
      <c r="C14" s="14"/>
      <c r="D14" s="15">
        <f>SUM(D11:D13)</f>
        <v>3.5129999999999999</v>
      </c>
      <c r="E14" s="14"/>
      <c r="F14" s="14"/>
      <c r="G14" s="14">
        <f>SUM(G11:G13)</f>
        <v>0</v>
      </c>
      <c r="H14" s="1"/>
      <c r="I14" s="1" t="s">
        <v>18</v>
      </c>
      <c r="J14" s="1"/>
      <c r="K14" s="1"/>
      <c r="L14" s="16">
        <f>G19</f>
        <v>38.074864999999996</v>
      </c>
    </row>
    <row r="15" spans="2:12" x14ac:dyDescent="0.25">
      <c r="B15" s="1" t="s">
        <v>19</v>
      </c>
      <c r="C15" s="1"/>
      <c r="D15" s="10">
        <f>SUMPRODUCT(D11:D13,F11:F13)</f>
        <v>3.214</v>
      </c>
      <c r="E15" s="1"/>
      <c r="F15" s="1"/>
      <c r="G15" s="1"/>
      <c r="H15" s="1"/>
      <c r="I15" s="17" t="s">
        <v>20</v>
      </c>
      <c r="J15" s="17"/>
      <c r="K15" s="17"/>
      <c r="L15" s="18">
        <f>L13*L14</f>
        <v>1098.4103579255</v>
      </c>
    </row>
    <row r="16" spans="2:12" x14ac:dyDescent="0.25">
      <c r="B16" s="1"/>
      <c r="C16" s="1"/>
      <c r="D16" s="1"/>
      <c r="E16" s="1"/>
      <c r="F16" s="1"/>
      <c r="G16" s="1"/>
      <c r="H16" s="1"/>
      <c r="I16" s="1" t="s">
        <v>4</v>
      </c>
      <c r="J16" s="1"/>
      <c r="K16" s="1"/>
      <c r="L16" s="19">
        <f>120.392+158.834</f>
        <v>279.226</v>
      </c>
    </row>
    <row r="17" spans="2:12" x14ac:dyDescent="0.25">
      <c r="B17" s="1" t="s">
        <v>21</v>
      </c>
      <c r="C17" s="1"/>
      <c r="D17" s="1"/>
      <c r="E17" s="1"/>
      <c r="F17" s="1"/>
      <c r="G17" s="10">
        <f>G14/C5</f>
        <v>0</v>
      </c>
      <c r="H17" s="1"/>
      <c r="I17" s="1" t="s">
        <v>22</v>
      </c>
      <c r="J17" s="1"/>
      <c r="K17" s="1"/>
      <c r="L17" s="19"/>
    </row>
    <row r="18" spans="2:12" x14ac:dyDescent="0.25">
      <c r="B18" s="1" t="s">
        <v>23</v>
      </c>
      <c r="C18" s="1"/>
      <c r="D18" s="1"/>
      <c r="E18" s="1"/>
      <c r="F18" s="1"/>
      <c r="G18" s="10">
        <f>D15-G17</f>
        <v>3.214</v>
      </c>
      <c r="H18" s="1"/>
      <c r="I18" s="1" t="s">
        <v>24</v>
      </c>
      <c r="J18" s="1"/>
      <c r="K18" s="1"/>
      <c r="L18" s="19"/>
    </row>
    <row r="19" spans="2:12" x14ac:dyDescent="0.25">
      <c r="B19" s="17" t="s">
        <v>25</v>
      </c>
      <c r="C19" s="17"/>
      <c r="D19" s="17"/>
      <c r="E19" s="17"/>
      <c r="F19" s="17"/>
      <c r="G19" s="20">
        <f>C7+G18</f>
        <v>38.074864999999996</v>
      </c>
      <c r="H19" s="1"/>
      <c r="I19" s="1" t="s">
        <v>26</v>
      </c>
      <c r="J19" s="1"/>
      <c r="K19" s="1"/>
      <c r="L19" s="19"/>
    </row>
    <row r="20" spans="2:12" x14ac:dyDescent="0.25">
      <c r="B20" s="1"/>
      <c r="C20" s="1"/>
      <c r="D20" s="1"/>
      <c r="E20" s="1"/>
      <c r="F20" s="1"/>
      <c r="G20" s="1"/>
      <c r="H20" s="21"/>
      <c r="I20" s="1" t="s">
        <v>27</v>
      </c>
      <c r="J20" s="1"/>
      <c r="K20" s="1"/>
      <c r="L20" s="19">
        <v>-131.393</v>
      </c>
    </row>
    <row r="21" spans="2:12" x14ac:dyDescent="0.25">
      <c r="B21" s="1"/>
      <c r="C21" s="1"/>
      <c r="D21" s="1"/>
      <c r="E21" s="1"/>
      <c r="F21" s="1"/>
      <c r="G21" s="1"/>
      <c r="H21" s="1"/>
      <c r="I21" s="17" t="s">
        <v>28</v>
      </c>
      <c r="J21" s="17"/>
      <c r="K21" s="17"/>
      <c r="L21" s="18">
        <f>SUM(L15:L20)</f>
        <v>1246.2433579254998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827BE-4F2C-4876-91DB-41250ACAAB38}">
  <dimension ref="B2:L27"/>
  <sheetViews>
    <sheetView showGridLines="0" zoomScale="85" zoomScaleNormal="85" workbookViewId="0"/>
  </sheetViews>
  <sheetFormatPr defaultRowHeight="15" x14ac:dyDescent="0.25"/>
  <cols>
    <col min="2" max="2" width="12.28515625" bestFit="1" customWidth="1"/>
    <col min="3" max="3" width="12.28515625" customWidth="1"/>
    <col min="4" max="4" width="10" bestFit="1" customWidth="1"/>
    <col min="6" max="6" width="18" bestFit="1" customWidth="1"/>
    <col min="8" max="8" width="23.140625" bestFit="1" customWidth="1"/>
    <col min="9" max="9" width="21.28515625" customWidth="1"/>
  </cols>
  <sheetData>
    <row r="2" spans="2:12" x14ac:dyDescent="0.25">
      <c r="B2" s="45" t="s">
        <v>8</v>
      </c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2: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2:12" x14ac:dyDescent="0.25">
      <c r="B4" s="1" t="s">
        <v>6</v>
      </c>
      <c r="C4" s="2" t="s">
        <v>29</v>
      </c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 t="s">
        <v>9</v>
      </c>
      <c r="C5" s="3">
        <v>2.64</v>
      </c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 t="s">
        <v>10</v>
      </c>
      <c r="C6" s="4">
        <v>45702</v>
      </c>
      <c r="D6" s="1"/>
      <c r="E6" s="1"/>
      <c r="F6" s="1"/>
      <c r="G6" s="1"/>
      <c r="H6" s="1"/>
      <c r="I6" s="1"/>
      <c r="J6" s="1"/>
      <c r="K6" s="1"/>
      <c r="L6" s="1"/>
    </row>
    <row r="7" spans="2:12" x14ac:dyDescent="0.25">
      <c r="B7" s="1" t="s">
        <v>11</v>
      </c>
      <c r="C7">
        <v>411.074838</v>
      </c>
      <c r="D7" s="1"/>
      <c r="E7" s="1"/>
      <c r="F7" s="1"/>
      <c r="G7" s="1"/>
      <c r="H7" s="1"/>
      <c r="I7" s="1"/>
      <c r="J7" s="1"/>
      <c r="K7" s="1"/>
      <c r="L7" s="1"/>
    </row>
    <row r="8" spans="2:12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2:12" ht="15.75" thickBot="1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2:12" ht="15.75" thickBot="1" x14ac:dyDescent="0.3">
      <c r="B10" s="5"/>
      <c r="C10" s="6"/>
      <c r="D10" s="7" t="s">
        <v>1</v>
      </c>
      <c r="E10" s="7" t="s">
        <v>2</v>
      </c>
      <c r="F10" s="7" t="s">
        <v>12</v>
      </c>
      <c r="G10" s="8" t="s">
        <v>3</v>
      </c>
      <c r="H10" s="1"/>
      <c r="I10" s="9" t="s">
        <v>13</v>
      </c>
      <c r="J10" s="7"/>
      <c r="K10" s="7"/>
      <c r="L10" s="8"/>
    </row>
    <row r="11" spans="2:12" x14ac:dyDescent="0.25">
      <c r="B11" s="1" t="s">
        <v>1</v>
      </c>
      <c r="C11" s="1"/>
      <c r="D11" s="25">
        <v>2.775E-2</v>
      </c>
      <c r="E11" s="1">
        <v>3.45</v>
      </c>
      <c r="F11" s="1">
        <f>IF(E11&gt;$C$5,0,1)</f>
        <v>0</v>
      </c>
      <c r="G11" s="1">
        <f>F11*E11*D11</f>
        <v>0</v>
      </c>
      <c r="H11" s="1"/>
      <c r="I11" s="1" t="str">
        <f>"Current Price (as of "&amp;TEXT(C6,"m/d/yy")&amp;")"</f>
        <v>Current Price (as of 2/14/25)</v>
      </c>
      <c r="J11" s="1"/>
      <c r="K11" s="1"/>
      <c r="L11" s="11">
        <f>C5</f>
        <v>2.64</v>
      </c>
    </row>
    <row r="12" spans="2:12" x14ac:dyDescent="0.25">
      <c r="B12" s="1" t="s">
        <v>14</v>
      </c>
      <c r="C12" s="1"/>
      <c r="D12" s="25">
        <v>5.6439999999999997E-3</v>
      </c>
      <c r="E12" s="1"/>
      <c r="F12" s="1">
        <f>IF(E12&gt;$C$5,0,1)</f>
        <v>1</v>
      </c>
      <c r="G12" s="1">
        <f>F12*E12*D12</f>
        <v>0</v>
      </c>
      <c r="H12" s="1"/>
      <c r="I12" s="12" t="s">
        <v>15</v>
      </c>
      <c r="J12" s="12"/>
      <c r="K12" s="12"/>
      <c r="L12" s="13">
        <v>0</v>
      </c>
    </row>
    <row r="13" spans="2:12" x14ac:dyDescent="0.25">
      <c r="B13" s="1" t="s">
        <v>62</v>
      </c>
      <c r="C13" s="1"/>
      <c r="D13" s="1">
        <v>0.96299999999999997</v>
      </c>
      <c r="E13" s="1"/>
      <c r="F13" s="1">
        <f>IF(E13&gt;$C$5,0,1)</f>
        <v>1</v>
      </c>
      <c r="G13" s="1">
        <f>F13*E13*D13</f>
        <v>0</v>
      </c>
      <c r="H13" s="1"/>
      <c r="I13" s="1" t="s">
        <v>16</v>
      </c>
      <c r="J13" s="1"/>
      <c r="K13" s="1"/>
      <c r="L13" s="11">
        <f>L11*(1+L12)</f>
        <v>2.64</v>
      </c>
    </row>
    <row r="14" spans="2:12" x14ac:dyDescent="0.25">
      <c r="B14" s="14" t="s">
        <v>17</v>
      </c>
      <c r="C14" s="14"/>
      <c r="D14" s="15">
        <f>SUM(D11:D13)</f>
        <v>0.996394</v>
      </c>
      <c r="E14" s="14"/>
      <c r="F14" s="14"/>
      <c r="G14" s="14">
        <f>SUM(G11:G13)</f>
        <v>0</v>
      </c>
      <c r="H14" s="1"/>
      <c r="I14" s="1" t="s">
        <v>18</v>
      </c>
      <c r="J14" s="1"/>
      <c r="K14" s="1"/>
      <c r="L14" s="16">
        <f>G19</f>
        <v>412.04348199999998</v>
      </c>
    </row>
    <row r="15" spans="2:12" x14ac:dyDescent="0.25">
      <c r="B15" s="1" t="s">
        <v>19</v>
      </c>
      <c r="C15" s="1"/>
      <c r="D15" s="10">
        <f>SUMPRODUCT(D11:D13,F11:F13)</f>
        <v>0.96864399999999995</v>
      </c>
      <c r="E15" s="1"/>
      <c r="F15" s="1"/>
      <c r="G15" s="1"/>
      <c r="H15" s="1"/>
      <c r="I15" s="17" t="s">
        <v>20</v>
      </c>
      <c r="J15" s="17"/>
      <c r="K15" s="17"/>
      <c r="L15" s="18">
        <f>L13*L14</f>
        <v>1087.7947924800001</v>
      </c>
    </row>
    <row r="16" spans="2:12" x14ac:dyDescent="0.25">
      <c r="B16" s="1"/>
      <c r="C16" s="1"/>
      <c r="D16" s="1"/>
      <c r="E16" s="1"/>
      <c r="F16" s="1"/>
      <c r="G16" s="1"/>
      <c r="H16" s="1"/>
      <c r="I16" s="1" t="s">
        <v>4</v>
      </c>
      <c r="J16" s="1"/>
      <c r="K16" s="1"/>
      <c r="L16" s="19">
        <v>1349.0119999999999</v>
      </c>
    </row>
    <row r="17" spans="2:12" x14ac:dyDescent="0.25">
      <c r="B17" s="1" t="s">
        <v>21</v>
      </c>
      <c r="C17" s="1"/>
      <c r="D17" s="1"/>
      <c r="E17" s="1"/>
      <c r="F17" s="1"/>
      <c r="G17" s="10">
        <f>G14/C5</f>
        <v>0</v>
      </c>
      <c r="H17" s="1"/>
      <c r="I17" s="1" t="s">
        <v>22</v>
      </c>
      <c r="J17" s="1"/>
      <c r="K17" s="1"/>
      <c r="L17" s="19"/>
    </row>
    <row r="18" spans="2:12" x14ac:dyDescent="0.25">
      <c r="B18" s="1" t="s">
        <v>23</v>
      </c>
      <c r="C18" s="1"/>
      <c r="D18" s="1"/>
      <c r="E18" s="1"/>
      <c r="F18" s="1"/>
      <c r="G18" s="10">
        <f>D15-G17</f>
        <v>0.96864399999999995</v>
      </c>
      <c r="H18" s="1"/>
      <c r="I18" s="1" t="s">
        <v>24</v>
      </c>
      <c r="J18" s="1"/>
      <c r="K18" s="1"/>
      <c r="L18" s="19"/>
    </row>
    <row r="19" spans="2:12" x14ac:dyDescent="0.25">
      <c r="B19" s="17" t="s">
        <v>25</v>
      </c>
      <c r="C19" s="17"/>
      <c r="D19" s="17"/>
      <c r="E19" s="17"/>
      <c r="F19" s="17"/>
      <c r="G19" s="20">
        <f>C7+G18</f>
        <v>412.04348199999998</v>
      </c>
      <c r="H19" s="1"/>
      <c r="I19" s="1" t="s">
        <v>26</v>
      </c>
      <c r="J19" s="1"/>
      <c r="K19" s="1"/>
      <c r="L19" s="19"/>
    </row>
    <row r="20" spans="2:12" x14ac:dyDescent="0.25">
      <c r="B20" s="1"/>
      <c r="C20" s="1"/>
      <c r="D20" s="1"/>
      <c r="E20" s="1"/>
      <c r="F20" s="1"/>
      <c r="G20" s="1"/>
      <c r="H20" s="21"/>
      <c r="I20" s="1" t="s">
        <v>27</v>
      </c>
      <c r="J20" s="1"/>
      <c r="K20" s="1"/>
      <c r="L20" s="19">
        <v>-109.873</v>
      </c>
    </row>
    <row r="21" spans="2:12" x14ac:dyDescent="0.25">
      <c r="B21" s="1"/>
      <c r="C21" s="1"/>
      <c r="D21" s="1"/>
      <c r="E21" s="1"/>
      <c r="F21" s="1"/>
      <c r="G21" s="1"/>
      <c r="H21" s="1"/>
      <c r="I21" s="17" t="s">
        <v>28</v>
      </c>
      <c r="J21" s="17"/>
      <c r="K21" s="17"/>
      <c r="L21" s="18">
        <f>SUM(L15:L20)</f>
        <v>2326.9337924799997</v>
      </c>
    </row>
    <row r="25" spans="2:12" x14ac:dyDescent="0.25">
      <c r="L25" s="22">
        <f>SUM(L16:L20)</f>
        <v>1239.1389999999999</v>
      </c>
    </row>
    <row r="26" spans="2:12" x14ac:dyDescent="0.25">
      <c r="L26">
        <v>301</v>
      </c>
    </row>
    <row r="27" spans="2:12" x14ac:dyDescent="0.25">
      <c r="L27">
        <f>L25/L26</f>
        <v>4.116740863787375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7E62-AEB7-4409-8B10-2F7E34A6FED1}">
  <dimension ref="A2:U42"/>
  <sheetViews>
    <sheetView showGridLines="0" zoomScale="85" zoomScaleNormal="85" workbookViewId="0"/>
  </sheetViews>
  <sheetFormatPr defaultRowHeight="14.25" x14ac:dyDescent="0.2"/>
  <cols>
    <col min="1" max="1" width="9.140625" style="1"/>
    <col min="2" max="2" width="15.5703125" style="1" bestFit="1" customWidth="1"/>
    <col min="3" max="3" width="11" style="1" bestFit="1" customWidth="1"/>
    <col min="4" max="4" width="1" style="1" customWidth="1"/>
    <col min="5" max="5" width="9.85546875" style="1" bestFit="1" customWidth="1"/>
    <col min="6" max="6" width="1" style="1" customWidth="1"/>
    <col min="7" max="7" width="11.28515625" style="1" customWidth="1"/>
    <col min="8" max="8" width="1" style="1" customWidth="1"/>
    <col min="9" max="9" width="11" style="1" bestFit="1" customWidth="1"/>
    <col min="10" max="12" width="9.140625" style="1"/>
    <col min="13" max="13" width="20" style="1" bestFit="1" customWidth="1"/>
    <col min="14" max="14" width="9.85546875" style="1" bestFit="1" customWidth="1"/>
    <col min="15" max="15" width="11" style="1" bestFit="1" customWidth="1"/>
    <col min="16" max="17" width="9.140625" style="1"/>
    <col min="18" max="18" width="10.85546875" style="1" bestFit="1" customWidth="1"/>
    <col min="19" max="19" width="18.7109375" style="1" bestFit="1" customWidth="1"/>
    <col min="20" max="20" width="23.28515625" style="1" bestFit="1" customWidth="1"/>
    <col min="21" max="16384" width="9.140625" style="1"/>
  </cols>
  <sheetData>
    <row r="2" spans="1:18" ht="15" x14ac:dyDescent="0.25">
      <c r="A2" s="1" t="s">
        <v>190</v>
      </c>
      <c r="B2" s="46" t="s">
        <v>212</v>
      </c>
      <c r="C2" s="47"/>
      <c r="D2" s="47"/>
      <c r="E2" s="47"/>
      <c r="F2" s="47"/>
      <c r="G2" s="47"/>
      <c r="H2" s="47"/>
      <c r="I2" s="47"/>
    </row>
    <row r="3" spans="1:18" ht="15" thickBot="1" x14ac:dyDescent="0.25"/>
    <row r="4" spans="1:18" ht="15" x14ac:dyDescent="0.25">
      <c r="B4" s="47"/>
      <c r="C4" s="47" t="s">
        <v>29</v>
      </c>
      <c r="E4" s="47" t="s">
        <v>7</v>
      </c>
      <c r="G4" s="48" t="s">
        <v>59</v>
      </c>
      <c r="I4" s="49" t="s">
        <v>30</v>
      </c>
    </row>
    <row r="5" spans="1:18" x14ac:dyDescent="0.2">
      <c r="I5" s="50"/>
    </row>
    <row r="6" spans="1:18" x14ac:dyDescent="0.2">
      <c r="B6" s="1" t="s">
        <v>58</v>
      </c>
      <c r="C6" s="51">
        <f>'GETY TSM'!G19</f>
        <v>412.04348199999998</v>
      </c>
      <c r="E6" s="51">
        <f>'SSTK TSM'!G19</f>
        <v>38.074864999999996</v>
      </c>
      <c r="G6" s="51">
        <v>319.39999999999998</v>
      </c>
      <c r="I6" s="52">
        <f>C6+E6+G6</f>
        <v>769.51834699999995</v>
      </c>
    </row>
    <row r="7" spans="1:18" x14ac:dyDescent="0.2">
      <c r="B7" s="1" t="s">
        <v>60</v>
      </c>
      <c r="C7" s="53">
        <f>'GETY TSM'!L13</f>
        <v>2.64</v>
      </c>
      <c r="D7" s="53"/>
      <c r="E7" s="53">
        <f>'SSTK TSM'!L13</f>
        <v>28.848700000000001</v>
      </c>
      <c r="F7" s="53"/>
      <c r="G7" s="53"/>
      <c r="H7" s="53"/>
      <c r="I7" s="54">
        <f>C7</f>
        <v>2.64</v>
      </c>
    </row>
    <row r="8" spans="1:18" ht="15" x14ac:dyDescent="0.25">
      <c r="B8" s="32" t="s">
        <v>65</v>
      </c>
      <c r="C8" s="55">
        <f>C6*C7</f>
        <v>1087.7947924800001</v>
      </c>
      <c r="D8" s="56"/>
      <c r="E8" s="55">
        <f>E6*E7</f>
        <v>1098.4103579255</v>
      </c>
      <c r="F8" s="56"/>
      <c r="G8" s="57"/>
      <c r="H8" s="56"/>
      <c r="I8" s="58">
        <f>I6*I7</f>
        <v>2031.5284360799999</v>
      </c>
    </row>
    <row r="9" spans="1:18" x14ac:dyDescent="0.2">
      <c r="I9" s="50"/>
    </row>
    <row r="10" spans="1:18" x14ac:dyDescent="0.2">
      <c r="B10" s="1" t="s">
        <v>4</v>
      </c>
      <c r="C10" s="51">
        <f>'GETY TSM'!L16</f>
        <v>1349.0119999999999</v>
      </c>
      <c r="E10" s="51">
        <f>'SSTK TSM'!L16</f>
        <v>279.226</v>
      </c>
      <c r="G10" s="51">
        <f>'S&amp;U'!F16</f>
        <v>361.71121749999998</v>
      </c>
      <c r="I10" s="52">
        <f>C10+E10+G10</f>
        <v>1989.9492174999998</v>
      </c>
    </row>
    <row r="11" spans="1:18" x14ac:dyDescent="0.2">
      <c r="B11" s="1" t="s">
        <v>5</v>
      </c>
      <c r="C11" s="51">
        <f>'GETY TSM'!L20</f>
        <v>-109.873</v>
      </c>
      <c r="E11" s="51">
        <f>'SSTK TSM'!L20</f>
        <v>-131.393</v>
      </c>
      <c r="G11" s="51"/>
      <c r="I11" s="52">
        <f>C11+E11+G11</f>
        <v>-241.26600000000002</v>
      </c>
    </row>
    <row r="12" spans="1:18" ht="15" x14ac:dyDescent="0.25">
      <c r="B12" s="32" t="s">
        <v>64</v>
      </c>
      <c r="C12" s="55">
        <f>SUM(C8:C11)</f>
        <v>2326.9337924799997</v>
      </c>
      <c r="D12" s="56"/>
      <c r="E12" s="55">
        <f>SUM(E8:E11)</f>
        <v>1246.2433579254998</v>
      </c>
      <c r="F12" s="56"/>
      <c r="G12" s="57"/>
      <c r="H12" s="56"/>
      <c r="I12" s="58">
        <f>SUM(I8:I11)</f>
        <v>3780.2116535799996</v>
      </c>
    </row>
    <row r="13" spans="1:18" x14ac:dyDescent="0.2">
      <c r="I13" s="50"/>
    </row>
    <row r="14" spans="1:18" ht="15" x14ac:dyDescent="0.25">
      <c r="B14" s="59" t="s">
        <v>68</v>
      </c>
      <c r="C14" s="59"/>
      <c r="D14" s="60"/>
      <c r="E14" s="59"/>
      <c r="F14" s="60"/>
      <c r="G14" s="59"/>
      <c r="H14" s="60"/>
      <c r="I14" s="61"/>
      <c r="N14" s="16"/>
      <c r="O14" s="62"/>
      <c r="R14" s="63"/>
    </row>
    <row r="15" spans="1:18" x14ac:dyDescent="0.2">
      <c r="B15" s="40" t="s">
        <v>69</v>
      </c>
      <c r="C15" s="1">
        <v>294</v>
      </c>
      <c r="E15" s="1">
        <v>250</v>
      </c>
      <c r="I15" s="50">
        <f>SUM(C15:G15)</f>
        <v>544</v>
      </c>
      <c r="N15" s="51"/>
      <c r="O15" s="62"/>
      <c r="R15" s="63"/>
    </row>
    <row r="16" spans="1:18" x14ac:dyDescent="0.2">
      <c r="B16" s="40" t="s">
        <v>70</v>
      </c>
      <c r="C16" s="1">
        <v>303</v>
      </c>
      <c r="E16" s="1">
        <v>281</v>
      </c>
      <c r="I16" s="50">
        <f t="shared" ref="I16:I17" si="0">SUM(C16:G16)</f>
        <v>584</v>
      </c>
    </row>
    <row r="17" spans="2:9" x14ac:dyDescent="0.2">
      <c r="B17" s="40" t="s">
        <v>71</v>
      </c>
      <c r="C17" s="1">
        <v>318</v>
      </c>
      <c r="E17" s="1">
        <v>316</v>
      </c>
      <c r="I17" s="50">
        <f t="shared" si="0"/>
        <v>634</v>
      </c>
    </row>
    <row r="18" spans="2:9" x14ac:dyDescent="0.2">
      <c r="I18" s="50"/>
    </row>
    <row r="19" spans="2:9" ht="15" x14ac:dyDescent="0.25">
      <c r="B19" s="59" t="s">
        <v>67</v>
      </c>
      <c r="C19" s="59"/>
      <c r="D19" s="60"/>
      <c r="E19" s="59"/>
      <c r="F19" s="60"/>
      <c r="G19" s="59"/>
      <c r="H19" s="60"/>
      <c r="I19" s="61"/>
    </row>
    <row r="20" spans="2:9" x14ac:dyDescent="0.2">
      <c r="B20" s="40" t="s">
        <v>69</v>
      </c>
      <c r="C20" s="1">
        <v>294</v>
      </c>
      <c r="E20" s="1">
        <v>250</v>
      </c>
      <c r="G20" s="1">
        <v>150</v>
      </c>
      <c r="I20" s="50">
        <f>SUM(C20:G20)</f>
        <v>694</v>
      </c>
    </row>
    <row r="21" spans="2:9" x14ac:dyDescent="0.2">
      <c r="B21" s="40" t="s">
        <v>70</v>
      </c>
      <c r="C21" s="1">
        <v>303</v>
      </c>
      <c r="E21" s="1">
        <v>281</v>
      </c>
      <c r="G21" s="1">
        <f>G20</f>
        <v>150</v>
      </c>
      <c r="I21" s="50">
        <f t="shared" ref="I21:I22" si="1">SUM(C21:G21)</f>
        <v>734</v>
      </c>
    </row>
    <row r="22" spans="2:9" x14ac:dyDescent="0.2">
      <c r="B22" s="40" t="s">
        <v>71</v>
      </c>
      <c r="C22" s="1">
        <v>318</v>
      </c>
      <c r="E22" s="1">
        <v>316</v>
      </c>
      <c r="G22" s="1">
        <f>G21</f>
        <v>150</v>
      </c>
      <c r="I22" s="50">
        <f t="shared" si="1"/>
        <v>784</v>
      </c>
    </row>
    <row r="23" spans="2:9" x14ac:dyDescent="0.2">
      <c r="I23" s="50"/>
    </row>
    <row r="24" spans="2:9" ht="15" x14ac:dyDescent="0.25">
      <c r="B24" s="64" t="s">
        <v>72</v>
      </c>
      <c r="C24" s="65"/>
      <c r="D24" s="66"/>
      <c r="E24" s="65"/>
      <c r="F24" s="66"/>
      <c r="G24" s="65"/>
      <c r="H24" s="66"/>
      <c r="I24" s="67"/>
    </row>
    <row r="25" spans="2:9" x14ac:dyDescent="0.2">
      <c r="B25" s="68" t="s">
        <v>69</v>
      </c>
      <c r="C25" s="69">
        <f>$C$12/C15</f>
        <v>7.9147407907482981</v>
      </c>
      <c r="E25" s="69">
        <f>$E$12/E15</f>
        <v>4.9849734317019996</v>
      </c>
      <c r="G25" s="70"/>
      <c r="I25" s="71">
        <f>$I$12/I15</f>
        <v>6.9489184808455873</v>
      </c>
    </row>
    <row r="26" spans="2:9" x14ac:dyDescent="0.2">
      <c r="B26" s="68" t="s">
        <v>70</v>
      </c>
      <c r="C26" s="69">
        <f t="shared" ref="C26:C27" si="2">$C$12/C16</f>
        <v>7.6796494801320128</v>
      </c>
      <c r="E26" s="69">
        <f>$E$12/E16</f>
        <v>4.4350297435071164</v>
      </c>
      <c r="G26" s="70"/>
      <c r="I26" s="71">
        <f t="shared" ref="I26:I27" si="3">$I$12/I16</f>
        <v>6.4729651602397258</v>
      </c>
    </row>
    <row r="27" spans="2:9" x14ac:dyDescent="0.2">
      <c r="B27" s="68" t="s">
        <v>71</v>
      </c>
      <c r="C27" s="69">
        <f t="shared" si="2"/>
        <v>7.3174018631446529</v>
      </c>
      <c r="E27" s="69">
        <f>$E$12/E17</f>
        <v>3.9438080947009486</v>
      </c>
      <c r="G27" s="70"/>
      <c r="I27" s="71">
        <f t="shared" si="3"/>
        <v>5.9624789488643524</v>
      </c>
    </row>
    <row r="28" spans="2:9" x14ac:dyDescent="0.2">
      <c r="B28" s="70"/>
      <c r="C28" s="70"/>
      <c r="E28" s="70"/>
      <c r="G28" s="70"/>
      <c r="I28" s="72"/>
    </row>
    <row r="29" spans="2:9" ht="15" x14ac:dyDescent="0.25">
      <c r="B29" s="64" t="s">
        <v>73</v>
      </c>
      <c r="C29" s="65"/>
      <c r="D29" s="66"/>
      <c r="E29" s="65"/>
      <c r="F29" s="66"/>
      <c r="G29" s="65"/>
      <c r="H29" s="66"/>
      <c r="I29" s="67"/>
    </row>
    <row r="30" spans="2:9" x14ac:dyDescent="0.2">
      <c r="B30" s="68" t="s">
        <v>69</v>
      </c>
      <c r="C30" s="69">
        <f>$C$12/C20</f>
        <v>7.9147407907482981</v>
      </c>
      <c r="E30" s="69">
        <f>$E$12/E20</f>
        <v>4.9849734317019996</v>
      </c>
      <c r="G30" s="70"/>
      <c r="I30" s="71">
        <f>$I$12/I20</f>
        <v>5.4469908553025927</v>
      </c>
    </row>
    <row r="31" spans="2:9" x14ac:dyDescent="0.2">
      <c r="B31" s="68" t="s">
        <v>70</v>
      </c>
      <c r="C31" s="69">
        <f t="shared" ref="C31" si="4">$C$12/C21</f>
        <v>7.6796494801320128</v>
      </c>
      <c r="E31" s="69">
        <f t="shared" ref="E31" si="5">$E$12/E21</f>
        <v>4.4350297435071164</v>
      </c>
      <c r="G31" s="70"/>
      <c r="I31" s="71">
        <f t="shared" ref="I31:I32" si="6">$I$12/I21</f>
        <v>5.150152116594005</v>
      </c>
    </row>
    <row r="32" spans="2:9" ht="15" thickBot="1" x14ac:dyDescent="0.25">
      <c r="B32" s="68" t="s">
        <v>71</v>
      </c>
      <c r="C32" s="69">
        <f t="shared" ref="C32" si="7">$C$12/C22</f>
        <v>7.3174018631446529</v>
      </c>
      <c r="E32" s="69">
        <f t="shared" ref="E32" si="8">$E$12/E22</f>
        <v>3.9438080947009486</v>
      </c>
      <c r="G32" s="70"/>
      <c r="I32" s="73">
        <f t="shared" si="6"/>
        <v>4.8216985377295911</v>
      </c>
    </row>
    <row r="35" spans="13:21" x14ac:dyDescent="0.2">
      <c r="R35" s="11"/>
      <c r="T35" s="11"/>
      <c r="U35" s="62"/>
    </row>
    <row r="36" spans="13:21" x14ac:dyDescent="0.2">
      <c r="R36" s="11"/>
      <c r="T36" s="11"/>
      <c r="U36" s="62"/>
    </row>
    <row r="40" spans="13:21" x14ac:dyDescent="0.2">
      <c r="M40" s="23"/>
    </row>
    <row r="42" spans="13:21" x14ac:dyDescent="0.2">
      <c r="M42" s="7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C95BF-26ED-43F0-805B-A7D4663BAF95}">
  <dimension ref="A2:T45"/>
  <sheetViews>
    <sheetView showGridLines="0" zoomScale="70" zoomScaleNormal="70" workbookViewId="0"/>
  </sheetViews>
  <sheetFormatPr defaultRowHeight="14.25" x14ac:dyDescent="0.2"/>
  <cols>
    <col min="1" max="1" width="9.140625" style="1"/>
    <col min="2" max="2" width="60.140625" style="1" bestFit="1" customWidth="1"/>
    <col min="3" max="3" width="10.85546875" style="1" bestFit="1" customWidth="1"/>
    <col min="4" max="4" width="9.140625" style="1"/>
    <col min="5" max="5" width="33" style="1" bestFit="1" customWidth="1"/>
    <col min="6" max="7" width="9.28515625" style="1" bestFit="1" customWidth="1"/>
    <col min="8" max="8" width="9.140625" style="1"/>
    <col min="9" max="9" width="32.140625" style="1" bestFit="1" customWidth="1"/>
    <col min="10" max="11" width="9.28515625" style="1" bestFit="1" customWidth="1"/>
    <col min="12" max="13" width="9.140625" style="1"/>
    <col min="14" max="14" width="24.7109375" style="1" customWidth="1"/>
    <col min="15" max="20" width="21" style="1" customWidth="1"/>
    <col min="21" max="16384" width="9.140625" style="1"/>
  </cols>
  <sheetData>
    <row r="2" spans="1:11" ht="15" x14ac:dyDescent="0.25">
      <c r="A2" s="1" t="s">
        <v>190</v>
      </c>
      <c r="B2" s="26" t="s">
        <v>36</v>
      </c>
      <c r="C2" s="27"/>
    </row>
    <row r="3" spans="1:11" x14ac:dyDescent="0.2">
      <c r="B3" s="31" t="str">
        <f>"GETY Share Price as of " &amp; TEXT('SSTK TSM'!C6,"m/dd/yy")</f>
        <v>GETY Share Price as of 2/14/25</v>
      </c>
      <c r="C3" s="11">
        <f>'GETY TSM'!C5</f>
        <v>2.64</v>
      </c>
    </row>
    <row r="4" spans="1:11" x14ac:dyDescent="0.2">
      <c r="B4" s="1" t="s">
        <v>182</v>
      </c>
      <c r="C4" s="16">
        <f>'SSTK TSM'!G19</f>
        <v>38.074864999999996</v>
      </c>
    </row>
    <row r="5" spans="1:11" x14ac:dyDescent="0.2">
      <c r="B5" s="1" t="s">
        <v>185</v>
      </c>
      <c r="C5" s="35">
        <v>9.17</v>
      </c>
    </row>
    <row r="6" spans="1:11" x14ac:dyDescent="0.2">
      <c r="B6" s="1" t="s">
        <v>186</v>
      </c>
      <c r="C6" s="11">
        <f>C5*C3</f>
        <v>24.2088</v>
      </c>
    </row>
    <row r="7" spans="1:11" x14ac:dyDescent="0.2">
      <c r="B7" s="1" t="s">
        <v>180</v>
      </c>
      <c r="C7" s="36">
        <v>9.5</v>
      </c>
    </row>
    <row r="8" spans="1:11" x14ac:dyDescent="0.2">
      <c r="B8" s="1" t="s">
        <v>187</v>
      </c>
      <c r="C8" s="11">
        <f>SUM(C6:C7)</f>
        <v>33.708799999999997</v>
      </c>
    </row>
    <row r="9" spans="1:11" x14ac:dyDescent="0.2">
      <c r="B9" s="14" t="s">
        <v>188</v>
      </c>
      <c r="C9" s="37">
        <f>C8*C4</f>
        <v>1283.4580093119998</v>
      </c>
    </row>
    <row r="12" spans="1:11" ht="15" x14ac:dyDescent="0.25">
      <c r="A12" s="1" t="s">
        <v>190</v>
      </c>
      <c r="E12" s="26" t="s">
        <v>56</v>
      </c>
      <c r="F12" s="27"/>
      <c r="G12" s="27"/>
      <c r="H12" s="27"/>
      <c r="I12" s="27"/>
      <c r="J12" s="27"/>
      <c r="K12" s="27"/>
    </row>
    <row r="14" spans="1:11" ht="15" x14ac:dyDescent="0.25">
      <c r="E14" s="28" t="s">
        <v>0</v>
      </c>
      <c r="F14" s="28" t="s">
        <v>31</v>
      </c>
      <c r="G14" s="28" t="s">
        <v>32</v>
      </c>
      <c r="I14" s="28" t="s">
        <v>34</v>
      </c>
      <c r="J14" s="28" t="s">
        <v>31</v>
      </c>
      <c r="K14" s="28" t="s">
        <v>32</v>
      </c>
    </row>
    <row r="15" spans="1:11" x14ac:dyDescent="0.2">
      <c r="E15" s="1" t="s">
        <v>57</v>
      </c>
      <c r="F15" s="29">
        <f>C3*C4*C5</f>
        <v>921.74679181199997</v>
      </c>
      <c r="G15" s="30">
        <f>F15/$F$18</f>
        <v>0.69805716469749546</v>
      </c>
      <c r="I15" s="1" t="s">
        <v>35</v>
      </c>
      <c r="J15" s="29">
        <f>C9</f>
        <v>1283.4580093119998</v>
      </c>
      <c r="K15" s="30">
        <f>J15/$J$18</f>
        <v>0.97198825854048654</v>
      </c>
    </row>
    <row r="16" spans="1:11" x14ac:dyDescent="0.2">
      <c r="E16" s="1" t="s">
        <v>180</v>
      </c>
      <c r="F16" s="24">
        <f>C7*C4</f>
        <v>361.71121749999998</v>
      </c>
      <c r="G16" s="30">
        <f>F16/$F$18</f>
        <v>0.27393109384299125</v>
      </c>
      <c r="I16" s="1" t="s">
        <v>183</v>
      </c>
      <c r="J16" s="24">
        <f>Model!E14</f>
        <v>30</v>
      </c>
      <c r="K16" s="30">
        <f>J16/$J$18</f>
        <v>2.2719596235053832E-2</v>
      </c>
    </row>
    <row r="17" spans="1:20" x14ac:dyDescent="0.2">
      <c r="E17" s="1" t="s">
        <v>75</v>
      </c>
      <c r="F17" s="24">
        <f>F18-SUM(F15:F16)</f>
        <v>36.987992000000077</v>
      </c>
      <c r="G17" s="30">
        <f>F17/$F$18</f>
        <v>2.8011741459513434E-2</v>
      </c>
      <c r="I17" s="1" t="s">
        <v>53</v>
      </c>
      <c r="J17" s="24">
        <f>SUM(O44,P44,R44,S44)/1000000</f>
        <v>6.9879920000000002</v>
      </c>
      <c r="K17" s="30">
        <f>J17/$J$18</f>
        <v>5.2921452244595437E-3</v>
      </c>
    </row>
    <row r="18" spans="1:20" ht="15" x14ac:dyDescent="0.25">
      <c r="E18" s="32" t="s">
        <v>33</v>
      </c>
      <c r="F18" s="33">
        <f>J18</f>
        <v>1320.4460013119999</v>
      </c>
      <c r="G18" s="34">
        <f>F18/$F$18</f>
        <v>1</v>
      </c>
      <c r="I18" s="32" t="s">
        <v>54</v>
      </c>
      <c r="J18" s="33">
        <f>SUM(J15:J17)</f>
        <v>1320.4460013119999</v>
      </c>
      <c r="K18" s="34">
        <f>J18/$J$18</f>
        <v>1</v>
      </c>
    </row>
    <row r="25" spans="1:20" ht="15" x14ac:dyDescent="0.25">
      <c r="A25" s="1" t="s">
        <v>190</v>
      </c>
      <c r="N25" s="26" t="s">
        <v>189</v>
      </c>
      <c r="O25" s="26"/>
      <c r="P25" s="26"/>
      <c r="Q25" s="26"/>
      <c r="R25" s="26"/>
      <c r="S25" s="26"/>
      <c r="T25" s="26"/>
    </row>
    <row r="27" spans="1:20" ht="60" x14ac:dyDescent="0.25">
      <c r="N27" s="159" t="s">
        <v>37</v>
      </c>
      <c r="O27" s="160" t="s">
        <v>38</v>
      </c>
      <c r="P27" s="160" t="s">
        <v>39</v>
      </c>
      <c r="Q27" s="160" t="s">
        <v>40</v>
      </c>
      <c r="R27" s="160" t="s">
        <v>41</v>
      </c>
      <c r="S27" s="160" t="s">
        <v>42</v>
      </c>
      <c r="T27" s="160" t="s">
        <v>43</v>
      </c>
    </row>
    <row r="28" spans="1:20" ht="15" x14ac:dyDescent="0.25">
      <c r="N28" s="38" t="s">
        <v>44</v>
      </c>
      <c r="O28" s="39"/>
      <c r="P28" s="39"/>
      <c r="Q28" s="39"/>
      <c r="R28" s="39"/>
      <c r="S28" s="39"/>
      <c r="T28" s="39"/>
    </row>
    <row r="29" spans="1:20" x14ac:dyDescent="0.2">
      <c r="N29" s="40" t="s">
        <v>45</v>
      </c>
      <c r="O29" s="41">
        <v>0</v>
      </c>
      <c r="P29" s="41">
        <v>0</v>
      </c>
      <c r="Q29" s="41">
        <v>11595552</v>
      </c>
      <c r="R29" s="41">
        <v>33878</v>
      </c>
      <c r="S29" s="41">
        <v>5000</v>
      </c>
      <c r="T29" s="41">
        <v>11634431</v>
      </c>
    </row>
    <row r="30" spans="1:20" x14ac:dyDescent="0.2">
      <c r="N30" s="40" t="s">
        <v>46</v>
      </c>
      <c r="O30" s="41">
        <v>0</v>
      </c>
      <c r="P30" s="41">
        <v>0</v>
      </c>
      <c r="Q30" s="41">
        <v>3097597</v>
      </c>
      <c r="R30" s="41">
        <v>33878</v>
      </c>
      <c r="S30" s="41">
        <v>5000</v>
      </c>
      <c r="T30" s="41">
        <v>3136475</v>
      </c>
    </row>
    <row r="31" spans="1:20" x14ac:dyDescent="0.2">
      <c r="N31" s="40" t="s">
        <v>47</v>
      </c>
      <c r="O31" s="41">
        <v>0</v>
      </c>
      <c r="P31" s="41">
        <v>0</v>
      </c>
      <c r="Q31" s="41">
        <v>0</v>
      </c>
      <c r="R31" s="41">
        <v>0</v>
      </c>
      <c r="S31" s="41">
        <v>0</v>
      </c>
      <c r="T31" s="41">
        <v>0</v>
      </c>
    </row>
    <row r="32" spans="1:20" ht="15" x14ac:dyDescent="0.25">
      <c r="N32" s="38" t="s">
        <v>48</v>
      </c>
      <c r="O32" s="39"/>
      <c r="P32" s="39"/>
      <c r="Q32" s="39"/>
      <c r="R32" s="39"/>
      <c r="S32" s="39"/>
      <c r="T32" s="39"/>
    </row>
    <row r="33" spans="14:20" x14ac:dyDescent="0.2">
      <c r="N33" s="40" t="s">
        <v>45</v>
      </c>
      <c r="O33" s="41">
        <v>1050000</v>
      </c>
      <c r="P33" s="41">
        <v>700000</v>
      </c>
      <c r="Q33" s="41">
        <v>20088487</v>
      </c>
      <c r="R33" s="41">
        <v>22362</v>
      </c>
      <c r="S33" s="41">
        <v>0</v>
      </c>
      <c r="T33" s="41">
        <v>21860849</v>
      </c>
    </row>
    <row r="34" spans="14:20" x14ac:dyDescent="0.2">
      <c r="N34" s="40" t="s">
        <v>46</v>
      </c>
      <c r="O34" s="41">
        <v>700000</v>
      </c>
      <c r="P34" s="41">
        <v>700000</v>
      </c>
      <c r="Q34" s="41">
        <v>14802020</v>
      </c>
      <c r="R34" s="41">
        <v>22362</v>
      </c>
      <c r="S34" s="41">
        <v>0</v>
      </c>
      <c r="T34" s="41">
        <v>16224382</v>
      </c>
    </row>
    <row r="35" spans="14:20" x14ac:dyDescent="0.2">
      <c r="N35" s="40" t="s">
        <v>47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</row>
    <row r="36" spans="14:20" ht="15" x14ac:dyDescent="0.25">
      <c r="N36" s="38" t="s">
        <v>49</v>
      </c>
      <c r="O36" s="39"/>
      <c r="P36" s="39"/>
      <c r="Q36" s="39"/>
      <c r="R36" s="39"/>
      <c r="S36" s="39"/>
      <c r="T36" s="39"/>
    </row>
    <row r="37" spans="14:20" x14ac:dyDescent="0.2">
      <c r="N37" s="40" t="s">
        <v>45</v>
      </c>
      <c r="O37" s="41">
        <v>550000</v>
      </c>
      <c r="P37" s="41">
        <v>440000</v>
      </c>
      <c r="Q37" s="41">
        <v>4011585</v>
      </c>
      <c r="R37" s="41">
        <v>33878</v>
      </c>
      <c r="S37" s="41">
        <v>0</v>
      </c>
      <c r="T37" s="41">
        <v>5035464</v>
      </c>
    </row>
    <row r="38" spans="14:20" x14ac:dyDescent="0.2">
      <c r="N38" s="40" t="s">
        <v>46</v>
      </c>
      <c r="O38" s="41">
        <v>550000</v>
      </c>
      <c r="P38" s="41">
        <v>440000</v>
      </c>
      <c r="Q38" s="41">
        <v>1756282</v>
      </c>
      <c r="R38" s="41">
        <v>33878</v>
      </c>
      <c r="S38" s="41">
        <v>0</v>
      </c>
      <c r="T38" s="41">
        <v>2780160</v>
      </c>
    </row>
    <row r="39" spans="14:20" x14ac:dyDescent="0.2">
      <c r="N39" s="40" t="s">
        <v>47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</row>
    <row r="40" spans="14:20" ht="15" x14ac:dyDescent="0.25">
      <c r="N40" s="38" t="s">
        <v>50</v>
      </c>
      <c r="O40" s="39"/>
      <c r="P40" s="39"/>
      <c r="Q40" s="39"/>
      <c r="R40" s="39"/>
      <c r="S40" s="39"/>
      <c r="T40" s="39"/>
    </row>
    <row r="41" spans="14:20" x14ac:dyDescent="0.2">
      <c r="N41" s="40" t="s">
        <v>45</v>
      </c>
      <c r="O41" s="41">
        <v>500000</v>
      </c>
      <c r="P41" s="41">
        <v>300000</v>
      </c>
      <c r="Q41" s="41">
        <v>4947638</v>
      </c>
      <c r="R41" s="41">
        <v>33878</v>
      </c>
      <c r="S41" s="41">
        <v>0</v>
      </c>
      <c r="T41" s="41">
        <v>5781516</v>
      </c>
    </row>
    <row r="42" spans="14:20" x14ac:dyDescent="0.2">
      <c r="N42" s="40" t="s">
        <v>46</v>
      </c>
      <c r="O42" s="41">
        <v>500000</v>
      </c>
      <c r="P42" s="41">
        <v>300000</v>
      </c>
      <c r="Q42" s="41">
        <v>1372311</v>
      </c>
      <c r="R42" s="41">
        <v>33878</v>
      </c>
      <c r="S42" s="41">
        <v>0</v>
      </c>
      <c r="T42" s="41">
        <v>2206189</v>
      </c>
    </row>
    <row r="43" spans="14:20" x14ac:dyDescent="0.2">
      <c r="N43" s="40" t="s">
        <v>47</v>
      </c>
      <c r="O43" s="41">
        <v>0</v>
      </c>
      <c r="P43" s="41">
        <v>0</v>
      </c>
      <c r="Q43" s="41">
        <v>0</v>
      </c>
      <c r="R43" s="41">
        <v>0</v>
      </c>
      <c r="S43" s="41">
        <v>0</v>
      </c>
      <c r="T43" s="41">
        <v>0</v>
      </c>
    </row>
    <row r="44" spans="14:20" ht="15" x14ac:dyDescent="0.25">
      <c r="N44" s="43" t="s">
        <v>17</v>
      </c>
      <c r="O44" s="44">
        <f>SUM(O29:O43)</f>
        <v>3850000</v>
      </c>
      <c r="P44" s="44">
        <f t="shared" ref="P44:T44" si="0">SUM(P29:P43)</f>
        <v>2880000</v>
      </c>
      <c r="Q44" s="44">
        <f t="shared" si="0"/>
        <v>61671472</v>
      </c>
      <c r="R44" s="44">
        <f t="shared" si="0"/>
        <v>247992</v>
      </c>
      <c r="S44" s="44">
        <f t="shared" si="0"/>
        <v>10000</v>
      </c>
      <c r="T44" s="44">
        <f t="shared" si="0"/>
        <v>68659466</v>
      </c>
    </row>
    <row r="45" spans="14:20" ht="15" x14ac:dyDescent="0.25">
      <c r="N45" s="42" t="s">
        <v>51</v>
      </c>
    </row>
  </sheetData>
  <hyperlinks>
    <hyperlink ref="N45" r:id="rId1" xr:uid="{534BA0A4-B6A3-44E6-B4A1-BD56CD37090C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7E498-5049-42A4-A952-937517AE46BF}">
  <dimension ref="A4:H17"/>
  <sheetViews>
    <sheetView showGridLines="0" zoomScale="85" zoomScaleNormal="85" workbookViewId="0"/>
  </sheetViews>
  <sheetFormatPr defaultRowHeight="14.25" x14ac:dyDescent="0.2"/>
  <cols>
    <col min="1" max="2" width="9.140625" style="1"/>
    <col min="3" max="3" width="28.140625" style="1" bestFit="1" customWidth="1"/>
    <col min="4" max="4" width="9.85546875" style="1" bestFit="1" customWidth="1"/>
    <col min="5" max="5" width="17.85546875" style="1" bestFit="1" customWidth="1"/>
    <col min="6" max="6" width="15.42578125" style="1" bestFit="1" customWidth="1"/>
    <col min="7" max="7" width="27" style="1" bestFit="1" customWidth="1"/>
    <col min="8" max="8" width="9.5703125" style="1" bestFit="1" customWidth="1"/>
    <col min="9" max="16384" width="9.140625" style="1"/>
  </cols>
  <sheetData>
    <row r="4" spans="1:8" ht="15" x14ac:dyDescent="0.25">
      <c r="A4" s="1" t="s">
        <v>190</v>
      </c>
      <c r="C4" s="26" t="s">
        <v>106</v>
      </c>
      <c r="D4" s="26"/>
      <c r="E4" s="26"/>
      <c r="F4" s="26"/>
      <c r="G4" s="26"/>
      <c r="H4" s="26"/>
    </row>
    <row r="5" spans="1:8" ht="15" x14ac:dyDescent="0.25">
      <c r="C5" s="59"/>
      <c r="D5" s="59" t="s">
        <v>97</v>
      </c>
      <c r="E5" s="59" t="s">
        <v>98</v>
      </c>
      <c r="F5" s="59" t="s">
        <v>100</v>
      </c>
      <c r="G5" s="59" t="s">
        <v>101</v>
      </c>
      <c r="H5" s="59" t="s">
        <v>107</v>
      </c>
    </row>
    <row r="6" spans="1:8" x14ac:dyDescent="0.2">
      <c r="C6" s="1" t="s">
        <v>99</v>
      </c>
      <c r="D6" s="51">
        <v>250</v>
      </c>
      <c r="E6" s="51">
        <v>155</v>
      </c>
      <c r="F6" s="75">
        <v>175</v>
      </c>
      <c r="G6" s="63">
        <v>2.5000000000000001E-3</v>
      </c>
      <c r="H6" s="1">
        <v>2029</v>
      </c>
    </row>
    <row r="7" spans="1:8" x14ac:dyDescent="0.2">
      <c r="C7" s="1" t="s">
        <v>96</v>
      </c>
      <c r="D7" s="51">
        <v>125</v>
      </c>
      <c r="E7" s="51">
        <f>120.392+3.834</f>
        <v>124.226</v>
      </c>
      <c r="F7" s="75">
        <v>175</v>
      </c>
      <c r="G7" s="63"/>
      <c r="H7" s="1">
        <v>2029</v>
      </c>
    </row>
    <row r="10" spans="1:8" ht="15" x14ac:dyDescent="0.25">
      <c r="A10" s="1" t="s">
        <v>190</v>
      </c>
      <c r="C10" s="26" t="s">
        <v>95</v>
      </c>
      <c r="D10" s="26"/>
      <c r="E10" s="26"/>
      <c r="F10" s="26"/>
      <c r="G10" s="26"/>
      <c r="H10" s="26"/>
    </row>
    <row r="11" spans="1:8" ht="15" x14ac:dyDescent="0.25">
      <c r="C11" s="59"/>
      <c r="D11" s="59" t="s">
        <v>97</v>
      </c>
      <c r="E11" s="59" t="s">
        <v>98</v>
      </c>
      <c r="F11" s="59" t="s">
        <v>100</v>
      </c>
      <c r="G11" s="59" t="s">
        <v>101</v>
      </c>
      <c r="H11" s="59" t="s">
        <v>107</v>
      </c>
    </row>
    <row r="12" spans="1:8" x14ac:dyDescent="0.2">
      <c r="C12" s="1" t="s">
        <v>105</v>
      </c>
      <c r="D12" s="51">
        <v>150</v>
      </c>
      <c r="E12" s="51">
        <v>0</v>
      </c>
      <c r="F12" s="76">
        <v>0.1</v>
      </c>
      <c r="G12" s="62">
        <f>0.4/150</f>
        <v>2.666666666666667E-3</v>
      </c>
      <c r="H12" s="77">
        <v>46877</v>
      </c>
    </row>
    <row r="13" spans="1:8" x14ac:dyDescent="0.2">
      <c r="C13" s="1" t="s">
        <v>102</v>
      </c>
      <c r="D13" s="51"/>
      <c r="E13" s="51">
        <v>300</v>
      </c>
      <c r="F13" s="63">
        <v>9.7500000000000003E-2</v>
      </c>
      <c r="H13" s="77">
        <v>46447</v>
      </c>
    </row>
    <row r="14" spans="1:8" x14ac:dyDescent="0.2">
      <c r="C14" s="1" t="s">
        <v>103</v>
      </c>
      <c r="D14" s="51"/>
      <c r="E14" s="51">
        <v>581.79999999999995</v>
      </c>
      <c r="F14" s="75">
        <v>450</v>
      </c>
      <c r="H14" s="1">
        <v>2026</v>
      </c>
    </row>
    <row r="15" spans="1:8" x14ac:dyDescent="0.2">
      <c r="C15" s="1" t="s">
        <v>104</v>
      </c>
      <c r="D15" s="51"/>
      <c r="E15" s="51">
        <v>467.61099999999999</v>
      </c>
      <c r="F15" s="78">
        <v>500</v>
      </c>
      <c r="H15" s="1">
        <v>2026</v>
      </c>
    </row>
    <row r="17" spans="3:6" x14ac:dyDescent="0.2">
      <c r="C17" s="1" t="s">
        <v>74</v>
      </c>
      <c r="E17" s="51"/>
      <c r="F17" s="63">
        <v>0.115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BC57B-7B27-44B4-8681-1A962117BB08}">
  <dimension ref="A2:M241"/>
  <sheetViews>
    <sheetView showGridLines="0" zoomScale="70" zoomScaleNormal="70" workbookViewId="0"/>
  </sheetViews>
  <sheetFormatPr defaultRowHeight="14.25" outlineLevelRow="1" x14ac:dyDescent="0.2"/>
  <cols>
    <col min="1" max="1" width="9.140625" style="1"/>
    <col min="2" max="2" width="35.5703125" style="1" bestFit="1" customWidth="1"/>
    <col min="3" max="5" width="15.42578125" style="1" customWidth="1"/>
    <col min="6" max="6" width="9.140625" style="1"/>
    <col min="7" max="7" width="9" style="1" customWidth="1"/>
    <col min="8" max="16384" width="9.140625" style="1"/>
  </cols>
  <sheetData>
    <row r="2" spans="1:5" ht="15" x14ac:dyDescent="0.25">
      <c r="A2" s="1" t="s">
        <v>190</v>
      </c>
      <c r="B2" s="26" t="s">
        <v>36</v>
      </c>
      <c r="C2" s="79"/>
      <c r="D2" s="79"/>
      <c r="E2" s="79"/>
    </row>
    <row r="4" spans="1:5" x14ac:dyDescent="0.2">
      <c r="B4" s="1" t="s">
        <v>208</v>
      </c>
      <c r="E4" s="35">
        <v>1</v>
      </c>
    </row>
    <row r="5" spans="1:5" x14ac:dyDescent="0.2">
      <c r="B5" s="1" t="s">
        <v>90</v>
      </c>
      <c r="E5" s="80">
        <v>0.35</v>
      </c>
    </row>
    <row r="6" spans="1:5" x14ac:dyDescent="0.2">
      <c r="B6" s="1" t="s">
        <v>167</v>
      </c>
      <c r="E6" s="80">
        <v>0.5</v>
      </c>
    </row>
    <row r="7" spans="1:5" x14ac:dyDescent="0.2">
      <c r="B7" s="1" t="s">
        <v>168</v>
      </c>
      <c r="E7" s="35">
        <v>0</v>
      </c>
    </row>
    <row r="8" spans="1:5" x14ac:dyDescent="0.2">
      <c r="B8" s="1" t="s">
        <v>169</v>
      </c>
      <c r="E8" s="35">
        <v>25</v>
      </c>
    </row>
    <row r="9" spans="1:5" x14ac:dyDescent="0.2">
      <c r="B9" s="1" t="s">
        <v>170</v>
      </c>
      <c r="E9" s="35">
        <v>75</v>
      </c>
    </row>
    <row r="10" spans="1:5" x14ac:dyDescent="0.2">
      <c r="B10" s="1" t="s">
        <v>181</v>
      </c>
      <c r="E10" s="81">
        <v>9.5</v>
      </c>
    </row>
    <row r="11" spans="1:5" x14ac:dyDescent="0.2">
      <c r="B11" s="1" t="s">
        <v>182</v>
      </c>
      <c r="E11" s="82">
        <f>'SSTK TSM'!G19</f>
        <v>38.074864999999996</v>
      </c>
    </row>
    <row r="12" spans="1:5" x14ac:dyDescent="0.2">
      <c r="B12" s="1" t="s">
        <v>184</v>
      </c>
      <c r="E12" s="82">
        <f>E10*E11</f>
        <v>361.71121749999998</v>
      </c>
    </row>
    <row r="13" spans="1:5" x14ac:dyDescent="0.2">
      <c r="B13" s="1" t="s">
        <v>52</v>
      </c>
      <c r="E13" s="83">
        <f>'S&amp;U'!J17</f>
        <v>6.9879920000000002</v>
      </c>
    </row>
    <row r="14" spans="1:5" x14ac:dyDescent="0.2">
      <c r="B14" s="1" t="s">
        <v>183</v>
      </c>
      <c r="E14" s="84">
        <v>30</v>
      </c>
    </row>
    <row r="15" spans="1:5" ht="15" x14ac:dyDescent="0.25">
      <c r="B15" s="21" t="s">
        <v>192</v>
      </c>
      <c r="E15" s="85">
        <f>SUM(E12:E14)</f>
        <v>398.69920949999999</v>
      </c>
    </row>
    <row r="17" spans="2:7" ht="15" x14ac:dyDescent="0.25">
      <c r="B17" s="26"/>
      <c r="C17" s="79">
        <v>2024</v>
      </c>
      <c r="D17" s="79">
        <f>C17+1</f>
        <v>2025</v>
      </c>
      <c r="E17" s="79">
        <f>D17+1</f>
        <v>2026</v>
      </c>
      <c r="G17" s="161" t="s">
        <v>213</v>
      </c>
    </row>
    <row r="18" spans="2:7" ht="15" outlineLevel="1" thickBot="1" x14ac:dyDescent="0.25"/>
    <row r="19" spans="2:7" ht="15" outlineLevel="1" x14ac:dyDescent="0.25">
      <c r="B19" s="143" t="s">
        <v>209</v>
      </c>
      <c r="C19" s="144"/>
      <c r="D19" s="144"/>
      <c r="E19" s="145"/>
    </row>
    <row r="20" spans="2:7" ht="15" outlineLevel="1" x14ac:dyDescent="0.25">
      <c r="B20" s="137" t="s">
        <v>78</v>
      </c>
      <c r="C20" s="59"/>
      <c r="D20" s="59"/>
      <c r="E20" s="138"/>
    </row>
    <row r="21" spans="2:7" outlineLevel="1" x14ac:dyDescent="0.2">
      <c r="B21" s="135" t="s">
        <v>87</v>
      </c>
      <c r="C21" s="51">
        <f>CHOOSE($E$4,C37,C59)</f>
        <v>937</v>
      </c>
      <c r="D21" s="51">
        <f>CHOOSE($E$4,D37,D59)</f>
        <v>958</v>
      </c>
      <c r="E21" s="139">
        <f>CHOOSE($E$4,E37,E59)</f>
        <v>990</v>
      </c>
      <c r="G21" s="76">
        <f>RATE(2,,-C21,E21)</f>
        <v>2.7892747586766391E-2</v>
      </c>
    </row>
    <row r="22" spans="2:7" outlineLevel="1" x14ac:dyDescent="0.2">
      <c r="B22" s="135" t="s">
        <v>88</v>
      </c>
      <c r="C22" s="51">
        <f>CHOOSE($E$4,C38,C60)</f>
        <v>939</v>
      </c>
      <c r="D22" s="51">
        <f>CHOOSE($E$4,D38,D60)*$E$6</f>
        <v>528</v>
      </c>
      <c r="E22" s="139">
        <f>CHOOSE($E$4,E38,E60)</f>
        <v>1102</v>
      </c>
      <c r="G22" s="76">
        <f>RATE(2,,-C22,E22)</f>
        <v>8.3323093258722294E-2</v>
      </c>
    </row>
    <row r="23" spans="2:7" outlineLevel="1" x14ac:dyDescent="0.2">
      <c r="B23" s="140" t="s">
        <v>91</v>
      </c>
      <c r="C23" s="86">
        <f>SUM(C21:C22)</f>
        <v>1876</v>
      </c>
      <c r="D23" s="86">
        <f>SUM(D21:D22)</f>
        <v>1486</v>
      </c>
      <c r="E23" s="141">
        <f>SUM(E21:E22)</f>
        <v>2092</v>
      </c>
      <c r="G23" s="76">
        <f>RATE(2,,-C23,E23)</f>
        <v>5.6001227627450655E-2</v>
      </c>
    </row>
    <row r="24" spans="2:7" outlineLevel="1" x14ac:dyDescent="0.2">
      <c r="B24" s="135"/>
      <c r="E24" s="136"/>
    </row>
    <row r="25" spans="2:7" ht="15" outlineLevel="1" x14ac:dyDescent="0.25">
      <c r="B25" s="137" t="s">
        <v>79</v>
      </c>
      <c r="C25" s="59"/>
      <c r="D25" s="59"/>
      <c r="E25" s="138"/>
    </row>
    <row r="26" spans="2:7" outlineLevel="1" x14ac:dyDescent="0.2">
      <c r="B26" s="135" t="s">
        <v>87</v>
      </c>
      <c r="C26" s="51">
        <f>CHOOSE($E$4,C42,C64)</f>
        <v>294</v>
      </c>
      <c r="D26" s="51">
        <f>CHOOSE($E$4,D42,D64)</f>
        <v>303</v>
      </c>
      <c r="E26" s="139">
        <f>CHOOSE($E$4,E42,E64)</f>
        <v>318</v>
      </c>
      <c r="G26" s="76">
        <f t="shared" ref="G26:G28" si="0">RATE(2,,-C26,E26)</f>
        <v>4.0015698469504202E-2</v>
      </c>
    </row>
    <row r="27" spans="2:7" outlineLevel="1" x14ac:dyDescent="0.2">
      <c r="B27" s="135" t="s">
        <v>88</v>
      </c>
      <c r="C27" s="51">
        <f>CHOOSE($E$4,C43,C65)</f>
        <v>250</v>
      </c>
      <c r="D27" s="51">
        <f>CHOOSE($E$4,D43,D65)*$E$6</f>
        <v>140.5</v>
      </c>
      <c r="E27" s="139">
        <f>CHOOSE($E$4,E43,E65)</f>
        <v>316</v>
      </c>
      <c r="G27" s="76">
        <f t="shared" si="0"/>
        <v>0.12427754580441637</v>
      </c>
    </row>
    <row r="28" spans="2:7" outlineLevel="1" x14ac:dyDescent="0.2">
      <c r="B28" s="140" t="s">
        <v>91</v>
      </c>
      <c r="C28" s="86">
        <f>SUM(C26:C27)</f>
        <v>544</v>
      </c>
      <c r="D28" s="86">
        <f>SUM(D26:D27)</f>
        <v>443.5</v>
      </c>
      <c r="E28" s="141">
        <f>SUM(E26:E27)</f>
        <v>634</v>
      </c>
      <c r="G28" s="76">
        <f t="shared" si="0"/>
        <v>7.9556008954879867E-2</v>
      </c>
    </row>
    <row r="29" spans="2:7" outlineLevel="1" x14ac:dyDescent="0.2">
      <c r="B29" s="135"/>
      <c r="E29" s="136"/>
    </row>
    <row r="30" spans="2:7" ht="15" outlineLevel="1" x14ac:dyDescent="0.25">
      <c r="B30" s="137" t="s">
        <v>203</v>
      </c>
      <c r="C30" s="59"/>
      <c r="D30" s="59"/>
      <c r="E30" s="138"/>
    </row>
    <row r="31" spans="2:7" outlineLevel="1" x14ac:dyDescent="0.2">
      <c r="B31" s="135" t="s">
        <v>87</v>
      </c>
      <c r="C31" s="134">
        <f>C26/C21</f>
        <v>0.31376734258271077</v>
      </c>
      <c r="D31" s="134">
        <f t="shared" ref="D31:E31" si="1">D26/D21</f>
        <v>0.31628392484342382</v>
      </c>
      <c r="E31" s="146">
        <f t="shared" si="1"/>
        <v>0.32121212121212123</v>
      </c>
      <c r="G31" s="76"/>
    </row>
    <row r="32" spans="2:7" outlineLevel="1" x14ac:dyDescent="0.2">
      <c r="B32" s="135" t="s">
        <v>88</v>
      </c>
      <c r="C32" s="134">
        <f t="shared" ref="C32:E32" si="2">C27/C22</f>
        <v>0.26624068157614483</v>
      </c>
      <c r="D32" s="134">
        <f t="shared" si="2"/>
        <v>0.26609848484848486</v>
      </c>
      <c r="E32" s="146">
        <f t="shared" si="2"/>
        <v>0.2867513611615245</v>
      </c>
      <c r="G32" s="76"/>
    </row>
    <row r="33" spans="2:7" ht="15" outlineLevel="1" thickBot="1" x14ac:dyDescent="0.25">
      <c r="B33" s="142" t="s">
        <v>91</v>
      </c>
      <c r="C33" s="148">
        <f t="shared" ref="C33:E33" si="3">C28/C23</f>
        <v>0.28997867803837951</v>
      </c>
      <c r="D33" s="148">
        <f t="shared" si="3"/>
        <v>0.29845222072678329</v>
      </c>
      <c r="E33" s="149">
        <f t="shared" si="3"/>
        <v>0.30305927342256211</v>
      </c>
      <c r="G33" s="76"/>
    </row>
    <row r="34" spans="2:7" ht="15" thickBot="1" x14ac:dyDescent="0.25"/>
    <row r="35" spans="2:7" ht="15" outlineLevel="1" x14ac:dyDescent="0.25">
      <c r="B35" s="150" t="s">
        <v>210</v>
      </c>
      <c r="C35" s="151"/>
      <c r="D35" s="151"/>
      <c r="E35" s="152"/>
    </row>
    <row r="36" spans="2:7" ht="15" outlineLevel="1" x14ac:dyDescent="0.25">
      <c r="B36" s="137" t="s">
        <v>201</v>
      </c>
      <c r="C36" s="59"/>
      <c r="D36" s="59"/>
      <c r="E36" s="138"/>
    </row>
    <row r="37" spans="2:7" outlineLevel="1" x14ac:dyDescent="0.2">
      <c r="B37" s="135" t="s">
        <v>87</v>
      </c>
      <c r="C37" s="51">
        <v>937</v>
      </c>
      <c r="D37" s="51">
        <v>958</v>
      </c>
      <c r="E37" s="139">
        <v>990</v>
      </c>
      <c r="G37" s="76">
        <f>RATE(2,,-C37,E37)</f>
        <v>2.7892747586766391E-2</v>
      </c>
    </row>
    <row r="38" spans="2:7" outlineLevel="1" x14ac:dyDescent="0.2">
      <c r="B38" s="135" t="s">
        <v>88</v>
      </c>
      <c r="C38" s="51">
        <v>939</v>
      </c>
      <c r="D38" s="51">
        <f>1056</f>
        <v>1056</v>
      </c>
      <c r="E38" s="139">
        <v>1102</v>
      </c>
      <c r="G38" s="76">
        <f>RATE(2,,-C38,E38)</f>
        <v>8.3323093258722294E-2</v>
      </c>
    </row>
    <row r="39" spans="2:7" outlineLevel="1" x14ac:dyDescent="0.2">
      <c r="B39" s="140" t="s">
        <v>91</v>
      </c>
      <c r="C39" s="86">
        <f>SUM(C37:C38)</f>
        <v>1876</v>
      </c>
      <c r="D39" s="86">
        <f>SUM(D37:D38)</f>
        <v>2014</v>
      </c>
      <c r="E39" s="141">
        <f>SUM(E37:E38)</f>
        <v>2092</v>
      </c>
      <c r="G39" s="76">
        <f>RATE(2,,-C39,E39)</f>
        <v>5.6001227627450655E-2</v>
      </c>
    </row>
    <row r="40" spans="2:7" outlineLevel="1" x14ac:dyDescent="0.2">
      <c r="B40" s="135"/>
      <c r="E40" s="136"/>
    </row>
    <row r="41" spans="2:7" ht="15" outlineLevel="1" x14ac:dyDescent="0.25">
      <c r="B41" s="137" t="s">
        <v>202</v>
      </c>
      <c r="C41" s="59"/>
      <c r="D41" s="59"/>
      <c r="E41" s="138"/>
    </row>
    <row r="42" spans="2:7" outlineLevel="1" x14ac:dyDescent="0.2">
      <c r="B42" s="135" t="s">
        <v>87</v>
      </c>
      <c r="C42" s="51">
        <v>294</v>
      </c>
      <c r="D42" s="51">
        <v>303</v>
      </c>
      <c r="E42" s="139">
        <v>318</v>
      </c>
      <c r="G42" s="76">
        <f t="shared" ref="G42:G44" si="4">RATE(2,,-C42,E42)</f>
        <v>4.0015698469504202E-2</v>
      </c>
    </row>
    <row r="43" spans="2:7" outlineLevel="1" x14ac:dyDescent="0.2">
      <c r="B43" s="135" t="s">
        <v>88</v>
      </c>
      <c r="C43" s="51">
        <v>250</v>
      </c>
      <c r="D43" s="51">
        <f>281</f>
        <v>281</v>
      </c>
      <c r="E43" s="139">
        <v>316</v>
      </c>
      <c r="G43" s="76">
        <f t="shared" si="4"/>
        <v>0.12427754580441637</v>
      </c>
    </row>
    <row r="44" spans="2:7" outlineLevel="1" x14ac:dyDescent="0.2">
      <c r="B44" s="140" t="s">
        <v>91</v>
      </c>
      <c r="C44" s="86">
        <f>SUM(C42:C43)</f>
        <v>544</v>
      </c>
      <c r="D44" s="86">
        <f>SUM(D42:D43)</f>
        <v>584</v>
      </c>
      <c r="E44" s="141">
        <f>SUM(E42:E43)</f>
        <v>634</v>
      </c>
      <c r="G44" s="76">
        <f t="shared" si="4"/>
        <v>7.9556008954879867E-2</v>
      </c>
    </row>
    <row r="45" spans="2:7" outlineLevel="1" x14ac:dyDescent="0.2">
      <c r="B45" s="135"/>
      <c r="E45" s="136"/>
    </row>
    <row r="46" spans="2:7" ht="15" outlineLevel="1" x14ac:dyDescent="0.25">
      <c r="B46" s="137" t="s">
        <v>207</v>
      </c>
      <c r="C46" s="59"/>
      <c r="D46" s="59"/>
      <c r="E46" s="138"/>
    </row>
    <row r="47" spans="2:7" outlineLevel="1" x14ac:dyDescent="0.2">
      <c r="B47" s="135" t="s">
        <v>87</v>
      </c>
      <c r="C47" s="134"/>
      <c r="D47" s="134">
        <f t="shared" ref="D47:E49" si="5">D37/C37-1</f>
        <v>2.2411953041622246E-2</v>
      </c>
      <c r="E47" s="146">
        <f t="shared" si="5"/>
        <v>3.3402922755741082E-2</v>
      </c>
    </row>
    <row r="48" spans="2:7" outlineLevel="1" x14ac:dyDescent="0.2">
      <c r="B48" s="135" t="s">
        <v>88</v>
      </c>
      <c r="C48" s="134"/>
      <c r="D48" s="134">
        <f t="shared" si="5"/>
        <v>0.12460063897763574</v>
      </c>
      <c r="E48" s="146">
        <f t="shared" si="5"/>
        <v>4.3560606060605966E-2</v>
      </c>
    </row>
    <row r="49" spans="2:7" outlineLevel="1" x14ac:dyDescent="0.2">
      <c r="B49" s="140" t="s">
        <v>91</v>
      </c>
      <c r="C49" s="121"/>
      <c r="D49" s="121">
        <f t="shared" si="5"/>
        <v>7.3560767590618248E-2</v>
      </c>
      <c r="E49" s="147">
        <f t="shared" si="5"/>
        <v>3.8728897715988087E-2</v>
      </c>
    </row>
    <row r="50" spans="2:7" outlineLevel="1" x14ac:dyDescent="0.2">
      <c r="B50" s="135"/>
      <c r="C50" s="134"/>
      <c r="D50" s="134"/>
      <c r="E50" s="146"/>
    </row>
    <row r="51" spans="2:7" ht="15" outlineLevel="1" x14ac:dyDescent="0.25">
      <c r="B51" s="137" t="s">
        <v>206</v>
      </c>
      <c r="C51" s="59"/>
      <c r="D51" s="59"/>
      <c r="E51" s="138"/>
    </row>
    <row r="52" spans="2:7" outlineLevel="1" x14ac:dyDescent="0.2">
      <c r="B52" s="135" t="s">
        <v>87</v>
      </c>
      <c r="C52" s="134">
        <f t="shared" ref="C52:E54" si="6">C42/C37</f>
        <v>0.31376734258271077</v>
      </c>
      <c r="D52" s="134">
        <f t="shared" si="6"/>
        <v>0.31628392484342382</v>
      </c>
      <c r="E52" s="146">
        <f t="shared" si="6"/>
        <v>0.32121212121212123</v>
      </c>
    </row>
    <row r="53" spans="2:7" outlineLevel="1" x14ac:dyDescent="0.2">
      <c r="B53" s="135" t="s">
        <v>88</v>
      </c>
      <c r="C53" s="134">
        <f t="shared" si="6"/>
        <v>0.26624068157614483</v>
      </c>
      <c r="D53" s="134">
        <f t="shared" si="6"/>
        <v>0.26609848484848486</v>
      </c>
      <c r="E53" s="146">
        <f t="shared" si="6"/>
        <v>0.2867513611615245</v>
      </c>
    </row>
    <row r="54" spans="2:7" ht="15" outlineLevel="1" thickBot="1" x14ac:dyDescent="0.25">
      <c r="B54" s="142" t="s">
        <v>91</v>
      </c>
      <c r="C54" s="148">
        <f t="shared" si="6"/>
        <v>0.28997867803837951</v>
      </c>
      <c r="D54" s="148">
        <f t="shared" si="6"/>
        <v>0.28997020854021849</v>
      </c>
      <c r="E54" s="149">
        <f t="shared" si="6"/>
        <v>0.30305927342256211</v>
      </c>
    </row>
    <row r="55" spans="2:7" outlineLevel="1" x14ac:dyDescent="0.2"/>
    <row r="56" spans="2:7" ht="15" outlineLevel="1" thickBot="1" x14ac:dyDescent="0.25"/>
    <row r="57" spans="2:7" ht="15" x14ac:dyDescent="0.25">
      <c r="B57" s="153" t="s">
        <v>211</v>
      </c>
      <c r="C57" s="154"/>
      <c r="D57" s="154"/>
      <c r="E57" s="155"/>
    </row>
    <row r="58" spans="2:7" ht="15" x14ac:dyDescent="0.25">
      <c r="B58" s="137" t="s">
        <v>204</v>
      </c>
      <c r="C58" s="59"/>
      <c r="D58" s="59"/>
      <c r="E58" s="138"/>
    </row>
    <row r="59" spans="2:7" x14ac:dyDescent="0.2">
      <c r="B59" s="135" t="s">
        <v>87</v>
      </c>
      <c r="C59" s="51">
        <v>937</v>
      </c>
      <c r="D59" s="51">
        <f>C59*(1+D69)</f>
        <v>946.37</v>
      </c>
      <c r="E59" s="139">
        <f t="shared" ref="E59:E60" si="7">D59*(1+E69)</f>
        <v>955.83370000000002</v>
      </c>
      <c r="G59" s="76">
        <f>RATE(2,,-C59,E59)</f>
        <v>9.9999999999999048E-3</v>
      </c>
    </row>
    <row r="60" spans="2:7" x14ac:dyDescent="0.2">
      <c r="B60" s="135" t="s">
        <v>88</v>
      </c>
      <c r="C60" s="51">
        <v>939</v>
      </c>
      <c r="D60" s="51">
        <f t="shared" ref="D60" si="8">C60*(1+D70)</f>
        <v>995.34</v>
      </c>
      <c r="E60" s="139">
        <f t="shared" si="7"/>
        <v>1015.2468</v>
      </c>
      <c r="G60" s="76">
        <f>RATE(2,,-C60,E60)</f>
        <v>3.980767452535984E-2</v>
      </c>
    </row>
    <row r="61" spans="2:7" x14ac:dyDescent="0.2">
      <c r="B61" s="140" t="s">
        <v>91</v>
      </c>
      <c r="C61" s="86">
        <f>SUM(C59:C60)</f>
        <v>1876</v>
      </c>
      <c r="D61" s="86">
        <f>SUM(D59:D60)</f>
        <v>1941.71</v>
      </c>
      <c r="E61" s="141">
        <f>SUM(E59:E60)</f>
        <v>1971.0805</v>
      </c>
      <c r="G61" s="76">
        <f>RATE(2,,-C61,E61)</f>
        <v>2.5028082198909934E-2</v>
      </c>
    </row>
    <row r="62" spans="2:7" x14ac:dyDescent="0.2">
      <c r="B62" s="135"/>
      <c r="E62" s="136"/>
    </row>
    <row r="63" spans="2:7" ht="15" x14ac:dyDescent="0.25">
      <c r="B63" s="137" t="s">
        <v>205</v>
      </c>
      <c r="C63" s="59"/>
      <c r="D63" s="59"/>
      <c r="E63" s="138"/>
    </row>
    <row r="64" spans="2:7" x14ac:dyDescent="0.2">
      <c r="B64" s="135" t="s">
        <v>87</v>
      </c>
      <c r="C64" s="51">
        <f>C59*C74</f>
        <v>294</v>
      </c>
      <c r="D64" s="51">
        <f t="shared" ref="D64:E64" si="9">D59*D74</f>
        <v>293.37470000000002</v>
      </c>
      <c r="E64" s="139">
        <f t="shared" si="9"/>
        <v>296.308447</v>
      </c>
      <c r="G64" s="76">
        <f t="shared" ref="G64:G66" si="10">RATE(2,,-C64,E64)</f>
        <v>3.9182539152368022E-3</v>
      </c>
    </row>
    <row r="65" spans="2:7" x14ac:dyDescent="0.2">
      <c r="B65" s="135" t="s">
        <v>88</v>
      </c>
      <c r="C65" s="51">
        <f t="shared" ref="C65:E65" si="11">C60*C75</f>
        <v>250</v>
      </c>
      <c r="D65" s="51">
        <f t="shared" si="11"/>
        <v>268.74180000000001</v>
      </c>
      <c r="E65" s="139">
        <f t="shared" si="11"/>
        <v>274.11663600000003</v>
      </c>
      <c r="G65" s="76">
        <f t="shared" si="10"/>
        <v>4.7122984181251909E-2</v>
      </c>
    </row>
    <row r="66" spans="2:7" x14ac:dyDescent="0.2">
      <c r="B66" s="140" t="s">
        <v>91</v>
      </c>
      <c r="C66" s="86">
        <f>SUM(C64:C65)</f>
        <v>544</v>
      </c>
      <c r="D66" s="86">
        <f>SUM(D64:D65)</f>
        <v>562.11650000000009</v>
      </c>
      <c r="E66" s="141">
        <f>SUM(E64:E65)</f>
        <v>570.42508300000009</v>
      </c>
      <c r="G66" s="76">
        <f t="shared" si="10"/>
        <v>2.3999765732682234E-2</v>
      </c>
    </row>
    <row r="67" spans="2:7" x14ac:dyDescent="0.2">
      <c r="B67" s="135"/>
      <c r="E67" s="136"/>
    </row>
    <row r="68" spans="2:7" ht="15" x14ac:dyDescent="0.25">
      <c r="B68" s="137" t="s">
        <v>207</v>
      </c>
      <c r="C68" s="59"/>
      <c r="D68" s="59"/>
      <c r="E68" s="138"/>
    </row>
    <row r="69" spans="2:7" x14ac:dyDescent="0.2">
      <c r="B69" s="135" t="s">
        <v>87</v>
      </c>
      <c r="C69" s="134"/>
      <c r="D69" s="157">
        <v>1.0000000000000009E-2</v>
      </c>
      <c r="E69" s="158">
        <v>1.0000000000000009E-2</v>
      </c>
    </row>
    <row r="70" spans="2:7" x14ac:dyDescent="0.2">
      <c r="B70" s="135" t="s">
        <v>88</v>
      </c>
      <c r="C70" s="134"/>
      <c r="D70" s="157">
        <v>6.0000000000000053E-2</v>
      </c>
      <c r="E70" s="158">
        <v>2.0000000000000018E-2</v>
      </c>
    </row>
    <row r="71" spans="2:7" x14ac:dyDescent="0.2">
      <c r="B71" s="140" t="s">
        <v>91</v>
      </c>
      <c r="C71" s="121"/>
      <c r="D71" s="121">
        <f>D61/C61-1</f>
        <v>3.502665245202552E-2</v>
      </c>
      <c r="E71" s="147">
        <f>E61/D61-1</f>
        <v>1.5126100190038683E-2</v>
      </c>
    </row>
    <row r="72" spans="2:7" x14ac:dyDescent="0.2">
      <c r="B72" s="135"/>
      <c r="C72" s="134"/>
      <c r="D72" s="134"/>
      <c r="E72" s="146"/>
    </row>
    <row r="73" spans="2:7" ht="15" x14ac:dyDescent="0.25">
      <c r="B73" s="137" t="s">
        <v>206</v>
      </c>
      <c r="C73" s="59"/>
      <c r="D73" s="59"/>
      <c r="E73" s="138"/>
    </row>
    <row r="74" spans="2:7" x14ac:dyDescent="0.2">
      <c r="B74" s="135" t="s">
        <v>87</v>
      </c>
      <c r="C74" s="157">
        <v>0.31376734258271077</v>
      </c>
      <c r="D74" s="157">
        <v>0.31</v>
      </c>
      <c r="E74" s="158">
        <v>0.31</v>
      </c>
    </row>
    <row r="75" spans="2:7" x14ac:dyDescent="0.2">
      <c r="B75" s="135" t="s">
        <v>88</v>
      </c>
      <c r="C75" s="157">
        <v>0.26624068157614483</v>
      </c>
      <c r="D75" s="157">
        <v>0.27</v>
      </c>
      <c r="E75" s="158">
        <v>0.27</v>
      </c>
    </row>
    <row r="76" spans="2:7" ht="15" thickBot="1" x14ac:dyDescent="0.25">
      <c r="B76" s="142" t="s">
        <v>91</v>
      </c>
      <c r="C76" s="148">
        <f>C66/C61</f>
        <v>0.28997867803837951</v>
      </c>
      <c r="D76" s="148">
        <f>D66/D61</f>
        <v>0.28949559923984536</v>
      </c>
      <c r="E76" s="149">
        <f>E66/E61</f>
        <v>0.28939715196817178</v>
      </c>
    </row>
    <row r="78" spans="2:7" x14ac:dyDescent="0.2">
      <c r="B78" s="1" t="s">
        <v>81</v>
      </c>
      <c r="C78" s="51">
        <v>0</v>
      </c>
      <c r="D78" s="51">
        <f>E8</f>
        <v>25</v>
      </c>
      <c r="E78" s="51">
        <f>E9</f>
        <v>75</v>
      </c>
    </row>
    <row r="80" spans="2:7" x14ac:dyDescent="0.2">
      <c r="B80" s="1" t="s">
        <v>89</v>
      </c>
      <c r="C80" s="51">
        <f>C28+C78</f>
        <v>544</v>
      </c>
      <c r="D80" s="51">
        <f>D28+D78</f>
        <v>468.5</v>
      </c>
      <c r="E80" s="51">
        <f>E28+E78</f>
        <v>709</v>
      </c>
    </row>
    <row r="82" spans="2:5" ht="15" x14ac:dyDescent="0.25">
      <c r="B82" s="59" t="s">
        <v>92</v>
      </c>
      <c r="C82" s="59"/>
      <c r="D82" s="59"/>
      <c r="E82" s="59"/>
    </row>
    <row r="83" spans="2:5" x14ac:dyDescent="0.2">
      <c r="B83" s="1" t="s">
        <v>87</v>
      </c>
      <c r="C83" s="51">
        <v>72</v>
      </c>
      <c r="D83" s="51">
        <v>79</v>
      </c>
      <c r="E83" s="51">
        <v>84</v>
      </c>
    </row>
    <row r="84" spans="2:5" x14ac:dyDescent="0.2">
      <c r="B84" s="1" t="s">
        <v>88</v>
      </c>
      <c r="C84" s="51">
        <v>176</v>
      </c>
      <c r="D84" s="156">
        <f>176*$E$6</f>
        <v>88</v>
      </c>
      <c r="E84" s="51">
        <v>174</v>
      </c>
    </row>
    <row r="85" spans="2:5" x14ac:dyDescent="0.2">
      <c r="B85" s="14" t="s">
        <v>91</v>
      </c>
      <c r="C85" s="86">
        <f>C28-C90</f>
        <v>248</v>
      </c>
      <c r="D85" s="86">
        <f>D28-D90</f>
        <v>167</v>
      </c>
      <c r="E85" s="86">
        <f>E28-E90</f>
        <v>258</v>
      </c>
    </row>
    <row r="87" spans="2:5" ht="15" x14ac:dyDescent="0.25">
      <c r="B87" s="59" t="s">
        <v>80</v>
      </c>
      <c r="C87" s="59"/>
      <c r="D87" s="59"/>
      <c r="E87" s="59"/>
    </row>
    <row r="88" spans="2:5" x14ac:dyDescent="0.2">
      <c r="B88" s="1" t="s">
        <v>87</v>
      </c>
      <c r="C88" s="51">
        <f t="shared" ref="C88:E89" si="12">C26-C83</f>
        <v>222</v>
      </c>
      <c r="D88" s="51">
        <f t="shared" si="12"/>
        <v>224</v>
      </c>
      <c r="E88" s="51">
        <f t="shared" si="12"/>
        <v>234</v>
      </c>
    </row>
    <row r="89" spans="2:5" x14ac:dyDescent="0.2">
      <c r="B89" s="1" t="s">
        <v>88</v>
      </c>
      <c r="C89" s="51">
        <f t="shared" si="12"/>
        <v>74</v>
      </c>
      <c r="D89" s="51">
        <f t="shared" si="12"/>
        <v>52.5</v>
      </c>
      <c r="E89" s="51">
        <f t="shared" si="12"/>
        <v>142</v>
      </c>
    </row>
    <row r="90" spans="2:5" x14ac:dyDescent="0.2">
      <c r="B90" s="14" t="s">
        <v>91</v>
      </c>
      <c r="C90" s="86">
        <f>SUM(C88:C89)</f>
        <v>296</v>
      </c>
      <c r="D90" s="86">
        <f>SUM(D88:D89)</f>
        <v>276.5</v>
      </c>
      <c r="E90" s="86">
        <f>SUM(E88:E89)</f>
        <v>376</v>
      </c>
    </row>
    <row r="92" spans="2:5" ht="15" x14ac:dyDescent="0.25">
      <c r="B92" s="59" t="s">
        <v>82</v>
      </c>
      <c r="C92" s="59"/>
      <c r="D92" s="59"/>
      <c r="E92" s="59"/>
    </row>
    <row r="93" spans="2:5" x14ac:dyDescent="0.2">
      <c r="B93" s="1" t="s">
        <v>87</v>
      </c>
      <c r="C93" s="51">
        <v>-130</v>
      </c>
      <c r="D93" s="51"/>
      <c r="E93" s="51"/>
    </row>
    <row r="94" spans="2:5" x14ac:dyDescent="0.2">
      <c r="B94" s="1" t="s">
        <v>88</v>
      </c>
      <c r="C94" s="51">
        <f>-4.5*4</f>
        <v>-18</v>
      </c>
      <c r="D94" s="51"/>
      <c r="E94" s="51"/>
    </row>
    <row r="95" spans="2:5" x14ac:dyDescent="0.2">
      <c r="B95" s="14" t="s">
        <v>91</v>
      </c>
      <c r="C95" s="86">
        <f>SUM(C93:C94)</f>
        <v>-148</v>
      </c>
      <c r="D95" s="86">
        <f ca="1">D197</f>
        <v>-133.35583186209581</v>
      </c>
      <c r="E95" s="86">
        <f ca="1">E197</f>
        <v>-148.56784420121193</v>
      </c>
    </row>
    <row r="97" spans="2:13" x14ac:dyDescent="0.2">
      <c r="B97" s="14" t="s">
        <v>83</v>
      </c>
      <c r="C97" s="86">
        <f>C90+C95</f>
        <v>148</v>
      </c>
      <c r="D97" s="86">
        <f ca="1">D90+D95</f>
        <v>143.14416813790419</v>
      </c>
      <c r="E97" s="86">
        <f ca="1">E90+E95</f>
        <v>227.43215579878807</v>
      </c>
    </row>
    <row r="98" spans="2:13" x14ac:dyDescent="0.2">
      <c r="B98" s="1" t="s">
        <v>84</v>
      </c>
      <c r="C98" s="51">
        <f>C97*-$E$5</f>
        <v>-51.8</v>
      </c>
      <c r="D98" s="51">
        <f ca="1">D97*-$E$5</f>
        <v>-50.100458848266463</v>
      </c>
      <c r="E98" s="51">
        <f ca="1">E97*-$E$5</f>
        <v>-79.601254529575826</v>
      </c>
    </row>
    <row r="99" spans="2:13" x14ac:dyDescent="0.2">
      <c r="B99" s="14" t="s">
        <v>85</v>
      </c>
      <c r="C99" s="86">
        <f>SUM(C97:C98)</f>
        <v>96.2</v>
      </c>
      <c r="D99" s="86">
        <f ca="1">SUM(D97:D98)</f>
        <v>93.043709289637718</v>
      </c>
      <c r="E99" s="86">
        <f ca="1">SUM(E97:E98)</f>
        <v>147.83090126921223</v>
      </c>
    </row>
    <row r="101" spans="2:13" x14ac:dyDescent="0.2">
      <c r="B101" s="14" t="s">
        <v>86</v>
      </c>
      <c r="C101" s="87">
        <f>C99/C102</f>
        <v>0.12501326365386842</v>
      </c>
      <c r="D101" s="87">
        <f ca="1">D99/D102</f>
        <v>0.12091161913471275</v>
      </c>
      <c r="E101" s="87">
        <f ca="1">E99/E102</f>
        <v>0.19210835173136195</v>
      </c>
    </row>
    <row r="102" spans="2:13" x14ac:dyDescent="0.2">
      <c r="B102" s="88" t="s">
        <v>123</v>
      </c>
      <c r="C102" s="89">
        <f>'Pro Forma Capitalization'!I6</f>
        <v>769.51834699999995</v>
      </c>
      <c r="D102" s="89">
        <f>C102</f>
        <v>769.51834699999995</v>
      </c>
      <c r="E102" s="89">
        <f>D102</f>
        <v>769.51834699999995</v>
      </c>
    </row>
    <row r="103" spans="2:13" x14ac:dyDescent="0.2">
      <c r="L103" s="1" t="s">
        <v>226</v>
      </c>
      <c r="M103" s="1" t="s">
        <v>227</v>
      </c>
    </row>
    <row r="104" spans="2:13" x14ac:dyDescent="0.2">
      <c r="B104" s="165" t="s">
        <v>214</v>
      </c>
      <c r="C104" s="166"/>
      <c r="D104" s="167">
        <v>0.13</v>
      </c>
      <c r="E104" s="168">
        <v>0.14000000000000001</v>
      </c>
      <c r="L104" s="126">
        <v>0.14000000000000001</v>
      </c>
      <c r="M104" s="169">
        <f ca="1">E101</f>
        <v>0.19210835173136195</v>
      </c>
    </row>
    <row r="105" spans="2:13" x14ac:dyDescent="0.2">
      <c r="M105" s="30">
        <f ca="1">M104/L104-1</f>
        <v>0.37220251236687107</v>
      </c>
    </row>
    <row r="110" spans="2:13" ht="15" x14ac:dyDescent="0.25">
      <c r="B110" s="59" t="s">
        <v>113</v>
      </c>
      <c r="C110" s="59"/>
      <c r="D110" s="59"/>
      <c r="E110" s="59"/>
    </row>
    <row r="111" spans="2:13" x14ac:dyDescent="0.2">
      <c r="B111" s="1" t="s">
        <v>87</v>
      </c>
      <c r="C111" s="51">
        <v>-57</v>
      </c>
      <c r="D111" s="51">
        <v>-60</v>
      </c>
      <c r="E111" s="51">
        <v>-61</v>
      </c>
    </row>
    <row r="112" spans="2:13" x14ac:dyDescent="0.2">
      <c r="B112" s="1" t="s">
        <v>88</v>
      </c>
      <c r="C112" s="51">
        <v>-54</v>
      </c>
      <c r="D112" s="51">
        <f>-62*$E$6</f>
        <v>-31</v>
      </c>
      <c r="E112" s="51">
        <v>-67</v>
      </c>
    </row>
    <row r="113" spans="2:5" x14ac:dyDescent="0.2">
      <c r="B113" s="14" t="s">
        <v>91</v>
      </c>
      <c r="C113" s="86">
        <f>SUM(C111:C112)</f>
        <v>-111</v>
      </c>
      <c r="D113" s="86">
        <f>SUM(D111:D112)</f>
        <v>-91</v>
      </c>
      <c r="E113" s="86">
        <f>SUM(E111:E112)</f>
        <v>-128</v>
      </c>
    </row>
    <row r="115" spans="2:5" ht="15" x14ac:dyDescent="0.25">
      <c r="B115" s="59" t="s">
        <v>122</v>
      </c>
      <c r="C115" s="59"/>
      <c r="D115" s="59"/>
      <c r="E115" s="59"/>
    </row>
    <row r="116" spans="2:5" x14ac:dyDescent="0.2">
      <c r="B116" s="1" t="s">
        <v>87</v>
      </c>
      <c r="C116" s="51">
        <f>C21*0.5%</f>
        <v>4.6850000000000005</v>
      </c>
      <c r="D116" s="51">
        <f>D21*0.5%</f>
        <v>4.79</v>
      </c>
      <c r="E116" s="51">
        <f>E21*0.5%</f>
        <v>4.95</v>
      </c>
    </row>
    <row r="117" spans="2:5" x14ac:dyDescent="0.2">
      <c r="B117" s="1" t="s">
        <v>88</v>
      </c>
      <c r="C117" s="51">
        <f>C22*0.5%</f>
        <v>4.6950000000000003</v>
      </c>
      <c r="D117" s="51">
        <f>D22*0.5%*$E$6</f>
        <v>1.32</v>
      </c>
      <c r="E117" s="51">
        <f>E22*0.5%</f>
        <v>5.51</v>
      </c>
    </row>
    <row r="118" spans="2:5" x14ac:dyDescent="0.2">
      <c r="B118" s="14" t="s">
        <v>91</v>
      </c>
      <c r="C118" s="86">
        <f>SUM(C116:C117)</f>
        <v>9.3800000000000008</v>
      </c>
      <c r="D118" s="86">
        <f>SUM(D116:D117)</f>
        <v>6.11</v>
      </c>
      <c r="E118" s="86">
        <f>SUM(E116:E117)</f>
        <v>10.46</v>
      </c>
    </row>
    <row r="121" spans="2:5" ht="15" x14ac:dyDescent="0.25">
      <c r="B121" s="26" t="s">
        <v>93</v>
      </c>
      <c r="C121" s="79"/>
      <c r="D121" s="79"/>
      <c r="E121" s="79"/>
    </row>
    <row r="122" spans="2:5" ht="15" x14ac:dyDescent="0.25">
      <c r="B122" s="90"/>
      <c r="C122" s="90"/>
      <c r="D122" s="91">
        <v>2025</v>
      </c>
      <c r="E122" s="91">
        <f>D122+1</f>
        <v>2026</v>
      </c>
    </row>
    <row r="124" spans="2:5" x14ac:dyDescent="0.2">
      <c r="B124" s="1" t="s">
        <v>79</v>
      </c>
      <c r="D124" s="51">
        <f>D80</f>
        <v>468.5</v>
      </c>
      <c r="E124" s="51">
        <f>E80</f>
        <v>709</v>
      </c>
    </row>
    <row r="125" spans="2:5" x14ac:dyDescent="0.2">
      <c r="B125" s="1" t="s">
        <v>108</v>
      </c>
      <c r="D125" s="51">
        <f ca="1">D95</f>
        <v>-133.35583186209581</v>
      </c>
      <c r="E125" s="51">
        <f ca="1">E95</f>
        <v>-148.56784420121193</v>
      </c>
    </row>
    <row r="126" spans="2:5" x14ac:dyDescent="0.2">
      <c r="B126" s="1" t="s">
        <v>109</v>
      </c>
      <c r="D126" s="51">
        <f ca="1">D98</f>
        <v>-50.100458848266463</v>
      </c>
      <c r="E126" s="51">
        <f ca="1">E98</f>
        <v>-79.601254529575826</v>
      </c>
    </row>
    <row r="127" spans="2:5" x14ac:dyDescent="0.2">
      <c r="B127" s="1" t="s">
        <v>110</v>
      </c>
      <c r="D127" s="51">
        <f>D113</f>
        <v>-91</v>
      </c>
      <c r="E127" s="51">
        <f>E113</f>
        <v>-128</v>
      </c>
    </row>
    <row r="128" spans="2:5" x14ac:dyDescent="0.2">
      <c r="B128" s="1" t="s">
        <v>111</v>
      </c>
      <c r="D128" s="51">
        <f>D118</f>
        <v>6.11</v>
      </c>
      <c r="E128" s="51">
        <f>E118</f>
        <v>10.46</v>
      </c>
    </row>
    <row r="129" spans="2:5" x14ac:dyDescent="0.2">
      <c r="B129" s="1" t="s">
        <v>193</v>
      </c>
      <c r="D129" s="51">
        <f>-E15</f>
        <v>-398.69920949999999</v>
      </c>
      <c r="E129" s="51"/>
    </row>
    <row r="130" spans="2:5" x14ac:dyDescent="0.2">
      <c r="B130" s="14" t="s">
        <v>112</v>
      </c>
      <c r="C130" s="14"/>
      <c r="D130" s="86">
        <f ca="1">SUM(D124:D129)</f>
        <v>-198.54550021036221</v>
      </c>
      <c r="E130" s="86">
        <f ca="1">SUM(E124:E129)</f>
        <v>363.29090126921216</v>
      </c>
    </row>
    <row r="132" spans="2:5" x14ac:dyDescent="0.2">
      <c r="B132" s="1" t="s">
        <v>130</v>
      </c>
      <c r="D132" s="63">
        <v>4.2000000000000003E-2</v>
      </c>
      <c r="E132" s="63">
        <v>3.95E-2</v>
      </c>
    </row>
    <row r="133" spans="2:5" x14ac:dyDescent="0.2">
      <c r="B133" s="1" t="s">
        <v>131</v>
      </c>
      <c r="D133" s="63">
        <v>2.1100000000000001E-2</v>
      </c>
      <c r="E133" s="63">
        <v>1.7999999999999999E-2</v>
      </c>
    </row>
    <row r="135" spans="2:5" x14ac:dyDescent="0.2">
      <c r="B135" s="12" t="s">
        <v>125</v>
      </c>
      <c r="C135" s="12"/>
      <c r="D135" s="12"/>
      <c r="E135" s="12"/>
    </row>
    <row r="136" spans="2:5" x14ac:dyDescent="0.2">
      <c r="B136" s="1" t="s">
        <v>124</v>
      </c>
      <c r="D136" s="51">
        <f>Financing!D6</f>
        <v>250</v>
      </c>
      <c r="E136" s="51">
        <f>D136</f>
        <v>250</v>
      </c>
    </row>
    <row r="137" spans="2:5" x14ac:dyDescent="0.2">
      <c r="B137" s="1" t="s">
        <v>126</v>
      </c>
      <c r="D137" s="51">
        <f>Financing!E6</f>
        <v>155</v>
      </c>
      <c r="E137" s="51">
        <f ca="1">D139</f>
        <v>155</v>
      </c>
    </row>
    <row r="138" spans="2:5" x14ac:dyDescent="0.2">
      <c r="B138" s="1" t="s">
        <v>127</v>
      </c>
      <c r="D138" s="51">
        <f ca="1">MAX(MIN(D137,D130))*-1*$E$7</f>
        <v>0</v>
      </c>
      <c r="E138" s="51">
        <f ca="1">MAX(MIN(E137,E130))*-1*$E$7</f>
        <v>0</v>
      </c>
    </row>
    <row r="139" spans="2:5" x14ac:dyDescent="0.2">
      <c r="B139" s="1" t="s">
        <v>128</v>
      </c>
      <c r="D139" s="51">
        <f ca="1">SUM(D137:D138)</f>
        <v>155</v>
      </c>
      <c r="E139" s="51">
        <f ca="1">SUM(E137:E138)</f>
        <v>155</v>
      </c>
    </row>
    <row r="140" spans="2:5" x14ac:dyDescent="0.2">
      <c r="B140" s="1" t="s">
        <v>129</v>
      </c>
      <c r="D140" s="51">
        <f ca="1">-AVERAGE(D137,D139)*((Financing!$F$6/10000)+Model!D$132)*$E$6</f>
        <v>-4.6112500000000001</v>
      </c>
      <c r="E140" s="51">
        <f ca="1">-AVERAGE(E137,E139)*((Financing!$F$6/10000)+Model!E$132)</f>
        <v>-8.8350000000000009</v>
      </c>
    </row>
    <row r="141" spans="2:5" x14ac:dyDescent="0.2">
      <c r="B141" s="1" t="s">
        <v>133</v>
      </c>
      <c r="D141" s="51">
        <f>(D136-D137)*-Financing!$G$6*$E$6</f>
        <v>-0.11875000000000001</v>
      </c>
      <c r="E141" s="51">
        <f ca="1">(E136-E137)*-Financing!$G$6</f>
        <v>-0.23750000000000002</v>
      </c>
    </row>
    <row r="143" spans="2:5" x14ac:dyDescent="0.2">
      <c r="B143" s="1" t="s">
        <v>132</v>
      </c>
      <c r="D143" s="51">
        <f ca="1">D130+D138</f>
        <v>-198.54550021036221</v>
      </c>
      <c r="E143" s="51">
        <f ca="1">E130+E138</f>
        <v>363.29090126921216</v>
      </c>
    </row>
    <row r="145" spans="2:5" x14ac:dyDescent="0.2">
      <c r="B145" s="12" t="s">
        <v>134</v>
      </c>
      <c r="C145" s="12"/>
      <c r="D145" s="12"/>
      <c r="E145" s="12"/>
    </row>
    <row r="146" spans="2:5" x14ac:dyDescent="0.2">
      <c r="B146" s="1" t="s">
        <v>124</v>
      </c>
      <c r="D146" s="51">
        <f>Financing!D12</f>
        <v>150</v>
      </c>
      <c r="E146" s="51">
        <f>D146</f>
        <v>150</v>
      </c>
    </row>
    <row r="147" spans="2:5" x14ac:dyDescent="0.2">
      <c r="B147" s="1" t="s">
        <v>126</v>
      </c>
      <c r="D147" s="51">
        <f>Financing!E12</f>
        <v>0</v>
      </c>
      <c r="E147" s="51">
        <f ca="1">D149</f>
        <v>0</v>
      </c>
    </row>
    <row r="148" spans="2:5" x14ac:dyDescent="0.2">
      <c r="B148" s="1" t="s">
        <v>127</v>
      </c>
      <c r="D148" s="51">
        <f ca="1">MAX(MIN(D147,D143))*-1*$E$7</f>
        <v>0</v>
      </c>
      <c r="E148" s="51">
        <f ca="1">MAX(MIN(E147,E143))*-1*$E$7</f>
        <v>0</v>
      </c>
    </row>
    <row r="149" spans="2:5" x14ac:dyDescent="0.2">
      <c r="B149" s="1" t="s">
        <v>128</v>
      </c>
      <c r="D149" s="51">
        <f ca="1">SUM(D147:D148)</f>
        <v>0</v>
      </c>
      <c r="E149" s="51">
        <f ca="1">SUM(E147:E148)</f>
        <v>0</v>
      </c>
    </row>
    <row r="150" spans="2:5" x14ac:dyDescent="0.2">
      <c r="B150" s="1" t="s">
        <v>129</v>
      </c>
      <c r="D150" s="51">
        <f ca="1">-AVERAGE(D147,D149)*Financing!$F$12</f>
        <v>0</v>
      </c>
      <c r="E150" s="51">
        <f ca="1">-AVERAGE(E147,E149)*Financing!$F$12</f>
        <v>0</v>
      </c>
    </row>
    <row r="151" spans="2:5" x14ac:dyDescent="0.2">
      <c r="B151" s="1" t="s">
        <v>133</v>
      </c>
      <c r="D151" s="51">
        <f>(D146-D147)*-Financing!$G$12</f>
        <v>-0.40000000000000008</v>
      </c>
      <c r="E151" s="51">
        <f ca="1">(E146-E147)*-Financing!$G$12</f>
        <v>-0.40000000000000008</v>
      </c>
    </row>
    <row r="152" spans="2:5" x14ac:dyDescent="0.2">
      <c r="D152" s="51"/>
      <c r="E152" s="51"/>
    </row>
    <row r="153" spans="2:5" x14ac:dyDescent="0.2">
      <c r="B153" s="1" t="s">
        <v>132</v>
      </c>
      <c r="D153" s="51">
        <f ca="1">D143+D148</f>
        <v>-198.54550021036221</v>
      </c>
      <c r="E153" s="51">
        <f ca="1">E143+E148</f>
        <v>363.29090126921216</v>
      </c>
    </row>
    <row r="155" spans="2:5" x14ac:dyDescent="0.2">
      <c r="B155" s="12" t="s">
        <v>135</v>
      </c>
      <c r="C155" s="12"/>
      <c r="D155" s="12"/>
      <c r="E155" s="12"/>
    </row>
    <row r="156" spans="2:5" x14ac:dyDescent="0.2">
      <c r="B156" s="1" t="s">
        <v>126</v>
      </c>
      <c r="D156" s="51">
        <f>Financing!E7</f>
        <v>124.226</v>
      </c>
      <c r="E156" s="51">
        <f ca="1">D158</f>
        <v>124.226</v>
      </c>
    </row>
    <row r="157" spans="2:5" x14ac:dyDescent="0.2">
      <c r="B157" s="1" t="s">
        <v>127</v>
      </c>
      <c r="D157" s="51">
        <f ca="1">MAX(MIN(D156,D153))*-1*$E$7</f>
        <v>0</v>
      </c>
      <c r="E157" s="51">
        <f ca="1">MAX(MIN(E156,E153))*-1*$E$7</f>
        <v>0</v>
      </c>
    </row>
    <row r="158" spans="2:5" x14ac:dyDescent="0.2">
      <c r="B158" s="1" t="s">
        <v>128</v>
      </c>
      <c r="D158" s="51">
        <f ca="1">SUM(D156:D157)</f>
        <v>124.226</v>
      </c>
      <c r="E158" s="51">
        <f ca="1">SUM(E156:E157)</f>
        <v>124.226</v>
      </c>
    </row>
    <row r="159" spans="2:5" x14ac:dyDescent="0.2">
      <c r="B159" s="1" t="s">
        <v>129</v>
      </c>
      <c r="D159" s="51">
        <f ca="1">-AVERAGE(D156,D158)*((Financing!$F$7/10000)+Model!D$132)*$E$6</f>
        <v>-3.6957235000000002</v>
      </c>
      <c r="E159" s="51">
        <f ca="1">-AVERAGE(E156,E158)*((Financing!$F$7/10000)+Model!E$132)</f>
        <v>-7.0808819999999999</v>
      </c>
    </row>
    <row r="161" spans="2:5" x14ac:dyDescent="0.2">
      <c r="B161" s="1" t="s">
        <v>137</v>
      </c>
      <c r="D161" s="51">
        <f ca="1">D153+D157</f>
        <v>-198.54550021036221</v>
      </c>
      <c r="E161" s="51">
        <f ca="1">E153+E157</f>
        <v>363.29090126921216</v>
      </c>
    </row>
    <row r="163" spans="2:5" x14ac:dyDescent="0.2">
      <c r="B163" s="12" t="s">
        <v>136</v>
      </c>
      <c r="C163" s="12"/>
      <c r="D163" s="12"/>
      <c r="E163" s="12"/>
    </row>
    <row r="164" spans="2:5" x14ac:dyDescent="0.2">
      <c r="B164" s="1" t="s">
        <v>126</v>
      </c>
      <c r="D164" s="51">
        <f>Financing!E13</f>
        <v>300</v>
      </c>
      <c r="E164" s="51">
        <f ca="1">D166</f>
        <v>300</v>
      </c>
    </row>
    <row r="165" spans="2:5" x14ac:dyDescent="0.2">
      <c r="B165" s="1" t="s">
        <v>127</v>
      </c>
      <c r="D165" s="51">
        <f ca="1">MAX(MIN(D164,D161))*-1*$E$7</f>
        <v>0</v>
      </c>
      <c r="E165" s="51">
        <f ca="1">MAX(MIN(E164,E161))*-1*$E$7</f>
        <v>0</v>
      </c>
    </row>
    <row r="166" spans="2:5" x14ac:dyDescent="0.2">
      <c r="B166" s="1" t="s">
        <v>128</v>
      </c>
      <c r="D166" s="51">
        <f ca="1">SUM(D164:D165)</f>
        <v>300</v>
      </c>
      <c r="E166" s="51">
        <f ca="1">SUM(E164:E165)</f>
        <v>300</v>
      </c>
    </row>
    <row r="167" spans="2:5" x14ac:dyDescent="0.2">
      <c r="B167" s="1" t="s">
        <v>129</v>
      </c>
      <c r="D167" s="51">
        <f ca="1">-AVERAGE(D164,D166)*Financing!$F$13</f>
        <v>-29.25</v>
      </c>
      <c r="E167" s="51">
        <f ca="1">-AVERAGE(E164,E166)*Financing!$F$13</f>
        <v>-29.25</v>
      </c>
    </row>
    <row r="169" spans="2:5" x14ac:dyDescent="0.2">
      <c r="B169" s="1" t="s">
        <v>138</v>
      </c>
      <c r="D169" s="51">
        <f ca="1">D161+D165</f>
        <v>-198.54550021036221</v>
      </c>
      <c r="E169" s="51">
        <f ca="1">E161+E165</f>
        <v>363.29090126921216</v>
      </c>
    </row>
    <row r="171" spans="2:5" x14ac:dyDescent="0.2">
      <c r="B171" s="12" t="s">
        <v>139</v>
      </c>
      <c r="C171" s="12"/>
      <c r="D171" s="12"/>
      <c r="E171" s="12"/>
    </row>
    <row r="172" spans="2:5" x14ac:dyDescent="0.2">
      <c r="B172" s="1" t="s">
        <v>126</v>
      </c>
      <c r="D172" s="51">
        <f>Financing!E14</f>
        <v>581.79999999999995</v>
      </c>
      <c r="E172" s="51">
        <f ca="1">D174</f>
        <v>581.79999999999995</v>
      </c>
    </row>
    <row r="173" spans="2:5" x14ac:dyDescent="0.2">
      <c r="B173" s="1" t="s">
        <v>127</v>
      </c>
      <c r="D173" s="51">
        <f ca="1">MAX(MIN(D172,D169))*-1*$E$7</f>
        <v>0</v>
      </c>
      <c r="E173" s="51">
        <f ca="1">-E172</f>
        <v>-581.79999999999995</v>
      </c>
    </row>
    <row r="174" spans="2:5" x14ac:dyDescent="0.2">
      <c r="B174" s="1" t="s">
        <v>128</v>
      </c>
      <c r="D174" s="51">
        <f ca="1">SUM(D172:D173)</f>
        <v>581.79999999999995</v>
      </c>
      <c r="E174" s="51">
        <f ca="1">SUM(E172:E173)</f>
        <v>0</v>
      </c>
    </row>
    <row r="175" spans="2:5" x14ac:dyDescent="0.2">
      <c r="B175" s="1" t="s">
        <v>129</v>
      </c>
      <c r="D175" s="51">
        <f ca="1">-AVERAGE(D172,D174)*((Financing!$F$14/10000)+Model!D$132)</f>
        <v>-50.616599999999991</v>
      </c>
      <c r="E175" s="51">
        <f ca="1">-AVERAGE(E172,E174)*((Financing!$F$14/10000)+Model!E$132)</f>
        <v>-24.581049999999994</v>
      </c>
    </row>
    <row r="177" spans="2:5" x14ac:dyDescent="0.2">
      <c r="B177" s="1" t="s">
        <v>141</v>
      </c>
      <c r="D177" s="51">
        <f ca="1">D169+D173</f>
        <v>-198.54550021036221</v>
      </c>
      <c r="E177" s="51">
        <f ca="1">E169+E173</f>
        <v>-218.5090987307878</v>
      </c>
    </row>
    <row r="179" spans="2:5" x14ac:dyDescent="0.2">
      <c r="B179" s="12" t="s">
        <v>140</v>
      </c>
      <c r="C179" s="12"/>
      <c r="D179" s="12"/>
      <c r="E179" s="12"/>
    </row>
    <row r="180" spans="2:5" x14ac:dyDescent="0.2">
      <c r="B180" s="1" t="s">
        <v>126</v>
      </c>
      <c r="D180" s="51">
        <f>Financing!E15</f>
        <v>467.61099999999999</v>
      </c>
      <c r="E180" s="51">
        <f ca="1">D182</f>
        <v>467.61099999999999</v>
      </c>
    </row>
    <row r="181" spans="2:5" x14ac:dyDescent="0.2">
      <c r="B181" s="1" t="s">
        <v>127</v>
      </c>
      <c r="D181" s="51">
        <f ca="1">MAX(MIN(D180,D177))*-1*$E$7</f>
        <v>0</v>
      </c>
      <c r="E181" s="51">
        <f ca="1">-E180</f>
        <v>-467.61099999999999</v>
      </c>
    </row>
    <row r="182" spans="2:5" x14ac:dyDescent="0.2">
      <c r="B182" s="1" t="s">
        <v>128</v>
      </c>
      <c r="D182" s="51">
        <f ca="1">SUM(D180:D181)</f>
        <v>467.61099999999999</v>
      </c>
      <c r="E182" s="51">
        <f ca="1">SUM(E180:E181)</f>
        <v>0</v>
      </c>
    </row>
    <row r="183" spans="2:5" x14ac:dyDescent="0.2">
      <c r="B183" s="1" t="s">
        <v>129</v>
      </c>
      <c r="D183" s="51">
        <f ca="1">-AVERAGE(D180,D182)*((Financing!$F$15/10000)+Model!D$133)</f>
        <v>-33.247142099999998</v>
      </c>
      <c r="E183" s="51">
        <f ca="1">-AVERAGE(E180,E182)*((Financing!$F$15/10000)+Model!E$133)</f>
        <v>-15.898774000000001</v>
      </c>
    </row>
    <row r="185" spans="2:5" x14ac:dyDescent="0.2">
      <c r="B185" s="1" t="s">
        <v>142</v>
      </c>
      <c r="D185" s="51">
        <f ca="1">D177+D181</f>
        <v>-198.54550021036221</v>
      </c>
      <c r="E185" s="51">
        <f ca="1">E177+E181</f>
        <v>-686.12009873078773</v>
      </c>
    </row>
    <row r="187" spans="2:5" x14ac:dyDescent="0.2">
      <c r="B187" s="12" t="s">
        <v>143</v>
      </c>
      <c r="C187" s="12"/>
      <c r="D187" s="12"/>
      <c r="E187" s="12"/>
    </row>
    <row r="188" spans="2:5" x14ac:dyDescent="0.2">
      <c r="B188" s="1" t="s">
        <v>126</v>
      </c>
      <c r="D188" s="51">
        <v>0</v>
      </c>
      <c r="E188" s="51">
        <f ca="1">D190</f>
        <v>198.54550021036221</v>
      </c>
    </row>
    <row r="189" spans="2:5" x14ac:dyDescent="0.2">
      <c r="B189" s="1" t="s">
        <v>127</v>
      </c>
      <c r="D189" s="51">
        <f ca="1">MAX(MIN(D188,D185))*-1</f>
        <v>198.54550021036221</v>
      </c>
      <c r="E189" s="51">
        <f ca="1">MAX(MIN(E188,E185))*-1</f>
        <v>686.12009873078773</v>
      </c>
    </row>
    <row r="190" spans="2:5" x14ac:dyDescent="0.2">
      <c r="B190" s="1" t="s">
        <v>128</v>
      </c>
      <c r="D190" s="51">
        <f ca="1">SUM(D188:D189)</f>
        <v>198.54550021036221</v>
      </c>
      <c r="E190" s="51">
        <f ca="1">SUM(E188:E189)</f>
        <v>884.66559894114994</v>
      </c>
    </row>
    <row r="191" spans="2:5" x14ac:dyDescent="0.2">
      <c r="B191" s="1" t="s">
        <v>129</v>
      </c>
      <c r="D191" s="51">
        <f ca="1">-AVERAGE(D188,D190)*Financing!$F$17</f>
        <v>-11.416366262095828</v>
      </c>
      <c r="E191" s="51">
        <f ca="1">-AVERAGE(E188,E190)*Financing!$F$17</f>
        <v>-62.284638201211948</v>
      </c>
    </row>
    <row r="193" spans="2:5" x14ac:dyDescent="0.2">
      <c r="B193" s="1" t="s">
        <v>144</v>
      </c>
      <c r="D193" s="51">
        <f>-'Pro Forma Capitalization'!I11</f>
        <v>241.26600000000002</v>
      </c>
      <c r="E193" s="51">
        <f ca="1">D195</f>
        <v>241.26600000000002</v>
      </c>
    </row>
    <row r="194" spans="2:5" x14ac:dyDescent="0.2">
      <c r="B194" s="1" t="s">
        <v>145</v>
      </c>
      <c r="D194" s="51">
        <f ca="1">D130+D138+D148+D157+D165+D173+D181+D189</f>
        <v>0</v>
      </c>
      <c r="E194" s="51">
        <f ca="1">E130+E138+E148+E157+E165+E173+E181+E189</f>
        <v>0</v>
      </c>
    </row>
    <row r="195" spans="2:5" x14ac:dyDescent="0.2">
      <c r="B195" s="1" t="s">
        <v>146</v>
      </c>
      <c r="D195" s="51">
        <f ca="1">SUM(D193:D194)</f>
        <v>241.26600000000002</v>
      </c>
      <c r="E195" s="51">
        <f ca="1">SUM(E193:E194)</f>
        <v>241.26600000000002</v>
      </c>
    </row>
    <row r="197" spans="2:5" x14ac:dyDescent="0.2">
      <c r="B197" s="1" t="s">
        <v>147</v>
      </c>
      <c r="D197" s="51">
        <f ca="1">SUM(D140,D141,D150,D151,D159,D167,D175,D183,D191)</f>
        <v>-133.35583186209581</v>
      </c>
      <c r="E197" s="51">
        <f ca="1">SUM(E140,E141,E150,E151,E159,E167,E175,E183,E191)</f>
        <v>-148.56784420121193</v>
      </c>
    </row>
    <row r="199" spans="2:5" x14ac:dyDescent="0.2">
      <c r="B199" s="1" t="s">
        <v>148</v>
      </c>
      <c r="D199" s="51">
        <f ca="1">SUM(D139,D149,D158,D166,D174,D182,D190)</f>
        <v>1827.1825002103619</v>
      </c>
      <c r="E199" s="51">
        <f ca="1">SUM(E139,E149,E158,E166,E174,E182,E190)</f>
        <v>1463.8915989411498</v>
      </c>
    </row>
    <row r="200" spans="2:5" x14ac:dyDescent="0.2">
      <c r="B200" s="1" t="s">
        <v>55</v>
      </c>
      <c r="D200" s="51">
        <f ca="1">D199-D195</f>
        <v>1585.9165002103618</v>
      </c>
      <c r="E200" s="51">
        <f ca="1">E199-E195</f>
        <v>1222.6255989411497</v>
      </c>
    </row>
    <row r="202" spans="2:5" ht="15" x14ac:dyDescent="0.25">
      <c r="B202" s="26" t="s">
        <v>171</v>
      </c>
      <c r="C202" s="26"/>
      <c r="D202" s="26"/>
      <c r="E202" s="26"/>
    </row>
    <row r="204" spans="2:5" ht="15" x14ac:dyDescent="0.25">
      <c r="B204" s="92" t="s">
        <v>175</v>
      </c>
      <c r="C204" s="92"/>
      <c r="D204" s="92"/>
      <c r="E204" s="92"/>
    </row>
    <row r="205" spans="2:5" x14ac:dyDescent="0.2">
      <c r="B205" s="70" t="s">
        <v>172</v>
      </c>
      <c r="C205" s="70"/>
      <c r="D205" s="69">
        <f ca="1">D199/D124</f>
        <v>3.9000693707798546</v>
      </c>
      <c r="E205" s="69">
        <f ca="1">E199/E124</f>
        <v>2.0647272199452043</v>
      </c>
    </row>
    <row r="206" spans="2:5" x14ac:dyDescent="0.2">
      <c r="B206" s="70" t="s">
        <v>149</v>
      </c>
      <c r="C206" s="70"/>
      <c r="D206" s="69">
        <f ca="1">D200/D124</f>
        <v>3.3850939172046144</v>
      </c>
      <c r="E206" s="69">
        <f ca="1">E200/E124</f>
        <v>1.7244366698746822</v>
      </c>
    </row>
    <row r="207" spans="2:5" x14ac:dyDescent="0.2">
      <c r="B207" s="70" t="s">
        <v>173</v>
      </c>
      <c r="C207" s="70"/>
      <c r="D207" s="69">
        <f ca="1">D199/(D124+D113)</f>
        <v>4.8402185436036076</v>
      </c>
      <c r="E207" s="69">
        <f ca="1">E199/(E124+E113)</f>
        <v>2.5196068828591218</v>
      </c>
    </row>
    <row r="208" spans="2:5" x14ac:dyDescent="0.2">
      <c r="B208" s="70" t="s">
        <v>174</v>
      </c>
      <c r="C208" s="70"/>
      <c r="D208" s="69">
        <f ca="1">D200/(D124+D113)</f>
        <v>4.2011033118155279</v>
      </c>
      <c r="E208" s="69">
        <f ca="1">E200/(E124+E113)</f>
        <v>2.1043469861293453</v>
      </c>
    </row>
    <row r="210" spans="2:8" ht="15" x14ac:dyDescent="0.25">
      <c r="B210" s="92" t="s">
        <v>176</v>
      </c>
      <c r="C210" s="92"/>
      <c r="D210" s="92"/>
      <c r="E210" s="92"/>
    </row>
    <row r="211" spans="2:8" x14ac:dyDescent="0.2">
      <c r="B211" s="70" t="s">
        <v>177</v>
      </c>
      <c r="D211" s="69">
        <f ca="1">D90/-D95</f>
        <v>2.0734001366054282</v>
      </c>
      <c r="E211" s="69">
        <f ca="1">E90/-E95</f>
        <v>2.5308302884893905</v>
      </c>
    </row>
    <row r="212" spans="2:8" x14ac:dyDescent="0.2">
      <c r="B212" s="70" t="s">
        <v>178</v>
      </c>
      <c r="D212" s="69">
        <f ca="1">D28/-D95</f>
        <v>3.3256888267070797</v>
      </c>
      <c r="E212" s="69">
        <f ca="1">E28/-E95</f>
        <v>4.2674106460166854</v>
      </c>
    </row>
    <row r="213" spans="2:8" x14ac:dyDescent="0.2">
      <c r="B213" s="70" t="s">
        <v>179</v>
      </c>
      <c r="D213" s="69">
        <f ca="1">(D28+D113)/-D95</f>
        <v>2.6433039716217488</v>
      </c>
      <c r="E213" s="69">
        <f ca="1">(E28+E113)/-E95</f>
        <v>3.4058513988713606</v>
      </c>
    </row>
    <row r="218" spans="2:8" ht="15" x14ac:dyDescent="0.25">
      <c r="B218" s="45"/>
      <c r="C218" s="45">
        <v>2020</v>
      </c>
      <c r="D218" s="45">
        <v>2021</v>
      </c>
      <c r="E218" s="45">
        <v>2022</v>
      </c>
      <c r="F218" s="45">
        <v>2023</v>
      </c>
      <c r="H218" s="45" t="s">
        <v>191</v>
      </c>
    </row>
    <row r="219" spans="2:8" x14ac:dyDescent="0.2">
      <c r="B219" s="1" t="s">
        <v>114</v>
      </c>
    </row>
    <row r="221" spans="2:8" x14ac:dyDescent="0.2">
      <c r="B221" s="12" t="s">
        <v>29</v>
      </c>
      <c r="C221" s="12"/>
      <c r="D221" s="12"/>
      <c r="E221" s="12"/>
      <c r="F221" s="12"/>
    </row>
    <row r="222" spans="2:8" x14ac:dyDescent="0.2">
      <c r="B222" s="1" t="s">
        <v>115</v>
      </c>
      <c r="C222" s="1">
        <v>9</v>
      </c>
      <c r="D222" s="1">
        <v>-16</v>
      </c>
      <c r="E222" s="1">
        <v>6</v>
      </c>
      <c r="F222" s="1">
        <v>-11.7</v>
      </c>
    </row>
    <row r="223" spans="2:8" x14ac:dyDescent="0.2">
      <c r="B223" s="1" t="s">
        <v>116</v>
      </c>
      <c r="C223" s="1">
        <v>7.4</v>
      </c>
      <c r="D223" s="1">
        <v>-0.6</v>
      </c>
      <c r="E223" s="1">
        <v>6</v>
      </c>
      <c r="F223" s="1">
        <v>9.8000000000000007</v>
      </c>
    </row>
    <row r="224" spans="2:8" x14ac:dyDescent="0.2">
      <c r="B224" s="1" t="s">
        <v>118</v>
      </c>
      <c r="C224" s="1">
        <v>4.5</v>
      </c>
      <c r="D224" s="1">
        <v>24.8</v>
      </c>
      <c r="E224" s="1">
        <v>9.1</v>
      </c>
      <c r="F224" s="1">
        <v>4.5</v>
      </c>
    </row>
    <row r="225" spans="2:8" x14ac:dyDescent="0.2">
      <c r="B225" s="14" t="s">
        <v>119</v>
      </c>
      <c r="C225" s="14">
        <f>SUM(C222:C224)</f>
        <v>20.9</v>
      </c>
      <c r="D225" s="14">
        <f>SUM(D222:D224)</f>
        <v>8.1999999999999993</v>
      </c>
      <c r="E225" s="14">
        <f>SUM(E222:E224)</f>
        <v>21.1</v>
      </c>
      <c r="F225" s="14">
        <f>SUM(F222:F224)</f>
        <v>2.6000000000000014</v>
      </c>
    </row>
    <row r="227" spans="2:8" x14ac:dyDescent="0.2">
      <c r="B227" s="1" t="s">
        <v>117</v>
      </c>
      <c r="C227" s="1">
        <v>815.4</v>
      </c>
      <c r="D227" s="1">
        <v>918.7</v>
      </c>
      <c r="E227" s="1">
        <v>926.2</v>
      </c>
      <c r="F227" s="1">
        <v>916.6</v>
      </c>
    </row>
    <row r="229" spans="2:8" x14ac:dyDescent="0.2">
      <c r="B229" s="1" t="s">
        <v>120</v>
      </c>
      <c r="D229" s="62">
        <f>D225/D227</f>
        <v>8.9256558180036989E-3</v>
      </c>
      <c r="E229" s="62">
        <f t="shared" ref="E229:F229" si="13">E225/E227</f>
        <v>2.278125674800259E-2</v>
      </c>
      <c r="F229" s="62">
        <f t="shared" si="13"/>
        <v>2.8365699323587186E-3</v>
      </c>
      <c r="H229" s="93">
        <f>MEDIAN(D229:F229)</f>
        <v>8.9256558180036989E-3</v>
      </c>
    </row>
    <row r="231" spans="2:8" x14ac:dyDescent="0.2">
      <c r="B231" s="12" t="s">
        <v>7</v>
      </c>
      <c r="C231" s="12"/>
      <c r="D231" s="12"/>
      <c r="E231" s="12"/>
      <c r="F231" s="12"/>
    </row>
    <row r="232" spans="2:8" x14ac:dyDescent="0.2">
      <c r="B232" s="1" t="s">
        <v>115</v>
      </c>
      <c r="C232" s="1">
        <v>0.5</v>
      </c>
      <c r="D232" s="1">
        <v>-4.0999999999999996</v>
      </c>
      <c r="E232" s="1">
        <v>-22.1</v>
      </c>
      <c r="F232" s="1">
        <v>-24.4</v>
      </c>
    </row>
    <row r="233" spans="2:8" x14ac:dyDescent="0.2">
      <c r="B233" s="1" t="s">
        <v>116</v>
      </c>
      <c r="C233" s="1">
        <v>7.8</v>
      </c>
      <c r="D233" s="1">
        <v>23.1</v>
      </c>
      <c r="E233" s="1">
        <v>4.5</v>
      </c>
      <c r="F233" s="1">
        <v>14.7</v>
      </c>
    </row>
    <row r="234" spans="2:8" x14ac:dyDescent="0.2">
      <c r="B234" s="1" t="s">
        <v>118</v>
      </c>
      <c r="C234" s="1">
        <v>7.8</v>
      </c>
      <c r="D234" s="1">
        <v>23.1</v>
      </c>
      <c r="E234" s="1">
        <v>4.5</v>
      </c>
      <c r="F234" s="1">
        <v>14.7</v>
      </c>
    </row>
    <row r="235" spans="2:8" x14ac:dyDescent="0.2">
      <c r="B235" s="14" t="s">
        <v>119</v>
      </c>
      <c r="C235" s="14">
        <f>SUM(C232:C234)</f>
        <v>16.100000000000001</v>
      </c>
      <c r="D235" s="14">
        <f>SUM(D232:D234)</f>
        <v>42.1</v>
      </c>
      <c r="E235" s="14">
        <f>SUM(E232:E234)</f>
        <v>-13.100000000000001</v>
      </c>
      <c r="F235" s="14">
        <f>SUM(F232:F234)</f>
        <v>5</v>
      </c>
    </row>
    <row r="237" spans="2:8" x14ac:dyDescent="0.2">
      <c r="B237" s="1" t="s">
        <v>117</v>
      </c>
      <c r="C237" s="1">
        <v>666.7</v>
      </c>
      <c r="D237" s="1">
        <v>773.4</v>
      </c>
      <c r="E237" s="1">
        <v>827.8</v>
      </c>
      <c r="F237" s="1">
        <v>874.6</v>
      </c>
    </row>
    <row r="239" spans="2:8" x14ac:dyDescent="0.2">
      <c r="B239" s="1" t="s">
        <v>120</v>
      </c>
      <c r="D239" s="62">
        <f>D235/D237</f>
        <v>5.4434962503232487E-2</v>
      </c>
      <c r="E239" s="62">
        <f t="shared" ref="E239:F239" si="14">E235/E237</f>
        <v>-1.5825078521381979E-2</v>
      </c>
      <c r="F239" s="62">
        <f t="shared" si="14"/>
        <v>5.716899153898925E-3</v>
      </c>
      <c r="H239" s="93">
        <f>MEDIAN(D239:F239)</f>
        <v>5.716899153898925E-3</v>
      </c>
    </row>
    <row r="240" spans="2:8" ht="15" thickBot="1" x14ac:dyDescent="0.25"/>
    <row r="241" spans="2:8" ht="15.75" thickBot="1" x14ac:dyDescent="0.3">
      <c r="B241" s="94" t="s">
        <v>121</v>
      </c>
      <c r="C241" s="95"/>
      <c r="D241" s="95"/>
      <c r="E241" s="95"/>
      <c r="F241" s="95"/>
      <c r="G241" s="95"/>
      <c r="H241" s="96">
        <f>AVERAGE(H229,H239)</f>
        <v>7.3212774859513115E-3</v>
      </c>
    </row>
  </sheetData>
  <pageMargins left="0.7" right="0.7" top="0.75" bottom="0.75" header="0.3" footer="0.3"/>
  <drawing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32575-E9A0-4406-88AB-CE4694C2524B}">
  <dimension ref="A2:AC107"/>
  <sheetViews>
    <sheetView showGridLines="0" zoomScale="85" zoomScaleNormal="85" workbookViewId="0"/>
  </sheetViews>
  <sheetFormatPr defaultRowHeight="14.25" outlineLevelCol="1" x14ac:dyDescent="0.2"/>
  <cols>
    <col min="1" max="2" width="9.140625" style="1"/>
    <col min="3" max="3" width="22.28515625" style="1" customWidth="1"/>
    <col min="4" max="4" width="9.140625" style="1" customWidth="1" outlineLevel="1"/>
    <col min="5" max="6" width="12.42578125" style="1" customWidth="1"/>
    <col min="7" max="7" width="9.140625" style="1"/>
    <col min="8" max="8" width="11.85546875" style="1" bestFit="1" customWidth="1"/>
    <col min="9" max="9" width="21.7109375" style="1" bestFit="1" customWidth="1"/>
    <col min="10" max="10" width="11" style="1" bestFit="1" customWidth="1"/>
    <col min="11" max="11" width="11.5703125" style="1" bestFit="1" customWidth="1"/>
    <col min="12" max="12" width="9.140625" style="1"/>
    <col min="13" max="13" width="14" style="1" customWidth="1"/>
    <col min="14" max="23" width="9.28515625" style="1" bestFit="1" customWidth="1"/>
    <col min="24" max="25" width="9.140625" style="1"/>
    <col min="26" max="26" width="28.7109375" style="1" bestFit="1" customWidth="1"/>
    <col min="27" max="16384" width="9.140625" style="1"/>
  </cols>
  <sheetData>
    <row r="2" spans="1:6" ht="15" x14ac:dyDescent="0.25">
      <c r="A2" s="1" t="s">
        <v>190</v>
      </c>
      <c r="C2" s="26" t="s">
        <v>195</v>
      </c>
      <c r="D2" s="26"/>
      <c r="E2" s="26"/>
      <c r="F2" s="26"/>
    </row>
    <row r="3" spans="1:6" ht="15" x14ac:dyDescent="0.25">
      <c r="C3" s="97"/>
      <c r="D3" s="97">
        <v>2024</v>
      </c>
      <c r="E3" s="97">
        <f>D3+1</f>
        <v>2025</v>
      </c>
      <c r="F3" s="97">
        <f>E3+1</f>
        <v>2026</v>
      </c>
    </row>
    <row r="4" spans="1:6" x14ac:dyDescent="0.2">
      <c r="C4" s="1" t="s">
        <v>151</v>
      </c>
      <c r="D4" s="51">
        <f>Model!C26</f>
        <v>294</v>
      </c>
      <c r="E4" s="51">
        <f>Model!D26</f>
        <v>303</v>
      </c>
      <c r="F4" s="51">
        <f>Model!E26</f>
        <v>318</v>
      </c>
    </row>
    <row r="5" spans="1:6" x14ac:dyDescent="0.2">
      <c r="C5" s="1" t="s">
        <v>150</v>
      </c>
      <c r="D5" s="51">
        <f>Model!C27</f>
        <v>250</v>
      </c>
      <c r="E5" s="51">
        <f>Model!D27/Model!$E$6</f>
        <v>281</v>
      </c>
      <c r="F5" s="51">
        <f>Model!E27</f>
        <v>316</v>
      </c>
    </row>
    <row r="6" spans="1:6" x14ac:dyDescent="0.2">
      <c r="C6" s="1" t="s">
        <v>81</v>
      </c>
      <c r="D6" s="51"/>
      <c r="E6" s="51">
        <v>25</v>
      </c>
      <c r="F6" s="51">
        <v>75</v>
      </c>
    </row>
    <row r="7" spans="1:6" x14ac:dyDescent="0.2">
      <c r="C7" s="14" t="s">
        <v>67</v>
      </c>
      <c r="D7" s="86">
        <f>SUM(D4:D6)</f>
        <v>544</v>
      </c>
      <c r="E7" s="86">
        <f t="shared" ref="E7:F7" si="0">SUM(E4:E6)</f>
        <v>609</v>
      </c>
      <c r="F7" s="86">
        <f t="shared" si="0"/>
        <v>709</v>
      </c>
    </row>
    <row r="8" spans="1:6" ht="3.75" customHeight="1" x14ac:dyDescent="0.2"/>
    <row r="9" spans="1:6" x14ac:dyDescent="0.2">
      <c r="C9" s="1" t="s">
        <v>152</v>
      </c>
      <c r="D9" s="98">
        <f>K40</f>
        <v>6.1140752230231143</v>
      </c>
      <c r="E9" s="98">
        <f>D9</f>
        <v>6.1140752230231143</v>
      </c>
      <c r="F9" s="98">
        <f>E9</f>
        <v>6.1140752230231143</v>
      </c>
    </row>
    <row r="10" spans="1:6" ht="3.75" customHeight="1" x14ac:dyDescent="0.2"/>
    <row r="11" spans="1:6" ht="15" x14ac:dyDescent="0.25">
      <c r="C11" s="32" t="s">
        <v>64</v>
      </c>
      <c r="D11" s="99">
        <f>D7*D9</f>
        <v>3326.0569213245744</v>
      </c>
      <c r="E11" s="99">
        <f t="shared" ref="E11:F11" si="1">E7*E9</f>
        <v>3723.4718108210768</v>
      </c>
      <c r="F11" s="99">
        <f t="shared" si="1"/>
        <v>4334.8793331233883</v>
      </c>
    </row>
    <row r="12" spans="1:6" ht="3.75" customHeight="1" x14ac:dyDescent="0.2"/>
    <row r="13" spans="1:6" x14ac:dyDescent="0.2">
      <c r="C13" s="1" t="s">
        <v>63</v>
      </c>
      <c r="D13" s="51">
        <f>SUM('Pro Forma Capitalization'!I10:I11)</f>
        <v>1748.6832174999997</v>
      </c>
      <c r="E13" s="51">
        <f ca="1">Model!D200</f>
        <v>1585.9165002103618</v>
      </c>
      <c r="F13" s="51">
        <f ca="1">Model!E200</f>
        <v>1222.6255989411497</v>
      </c>
    </row>
    <row r="14" spans="1:6" ht="3.75" customHeight="1" x14ac:dyDescent="0.2"/>
    <row r="15" spans="1:6" ht="15" x14ac:dyDescent="0.25">
      <c r="C15" s="32" t="s">
        <v>154</v>
      </c>
      <c r="D15" s="99">
        <f>D11-D13</f>
        <v>1577.3737038245747</v>
      </c>
      <c r="E15" s="99">
        <f t="shared" ref="E15:F15" ca="1" si="2">E11-E13</f>
        <v>2137.555310610715</v>
      </c>
      <c r="F15" s="99">
        <f t="shared" ca="1" si="2"/>
        <v>3112.2537341822385</v>
      </c>
    </row>
    <row r="16" spans="1:6" x14ac:dyDescent="0.2">
      <c r="D16" s="51"/>
      <c r="E16" s="51"/>
      <c r="F16" s="51"/>
    </row>
    <row r="17" spans="3:6" x14ac:dyDescent="0.2">
      <c r="C17" s="100" t="s">
        <v>66</v>
      </c>
      <c r="D17" s="101"/>
      <c r="E17" s="101"/>
      <c r="F17" s="101"/>
    </row>
    <row r="18" spans="3:6" x14ac:dyDescent="0.2">
      <c r="C18" s="70" t="s">
        <v>87</v>
      </c>
      <c r="D18" s="89"/>
      <c r="E18" s="102">
        <v>0.54700000000000004</v>
      </c>
      <c r="F18" s="102">
        <f>E18</f>
        <v>0.54700000000000004</v>
      </c>
    </row>
    <row r="19" spans="3:6" x14ac:dyDescent="0.2">
      <c r="C19" s="70" t="s">
        <v>88</v>
      </c>
      <c r="D19" s="89"/>
      <c r="E19" s="102">
        <f>1-E18</f>
        <v>0.45299999999999996</v>
      </c>
      <c r="F19" s="102">
        <f>E19</f>
        <v>0.45299999999999996</v>
      </c>
    </row>
    <row r="20" spans="3:6" x14ac:dyDescent="0.2">
      <c r="D20" s="51"/>
      <c r="E20" s="51"/>
      <c r="F20" s="51"/>
    </row>
    <row r="21" spans="3:6" x14ac:dyDescent="0.2">
      <c r="C21" s="1" t="s">
        <v>155</v>
      </c>
      <c r="D21" s="51"/>
      <c r="E21" s="51">
        <f ca="1">E15*E18</f>
        <v>1169.2427549040613</v>
      </c>
      <c r="F21" s="51">
        <f ca="1">F15*F18</f>
        <v>1702.4027925976845</v>
      </c>
    </row>
    <row r="22" spans="3:6" x14ac:dyDescent="0.2">
      <c r="C22" s="1" t="s">
        <v>156</v>
      </c>
      <c r="D22" s="51"/>
      <c r="E22" s="51">
        <f>'GETY TSM'!L15</f>
        <v>1087.7947924800001</v>
      </c>
      <c r="F22" s="51">
        <f>E22</f>
        <v>1087.7947924800001</v>
      </c>
    </row>
    <row r="23" spans="3:6" ht="15" thickBot="1" x14ac:dyDescent="0.25">
      <c r="D23" s="51"/>
      <c r="E23" s="51"/>
      <c r="F23" s="51"/>
    </row>
    <row r="24" spans="3:6" ht="15" x14ac:dyDescent="0.25">
      <c r="C24" s="103" t="s">
        <v>157</v>
      </c>
      <c r="D24" s="104"/>
      <c r="E24" s="104">
        <f ca="1">E21-E22</f>
        <v>81.447962424061188</v>
      </c>
      <c r="F24" s="105">
        <f ca="1">F21-F22</f>
        <v>614.60800011768447</v>
      </c>
    </row>
    <row r="25" spans="3:6" ht="15.75" thickBot="1" x14ac:dyDescent="0.3">
      <c r="C25" s="106" t="s">
        <v>158</v>
      </c>
      <c r="D25" s="107"/>
      <c r="E25" s="108">
        <f ca="1">E21/E22-1</f>
        <v>7.4874381627046294E-2</v>
      </c>
      <c r="F25" s="109">
        <f ca="1">F21/F22-1</f>
        <v>0.56500362418216343</v>
      </c>
    </row>
    <row r="26" spans="3:6" x14ac:dyDescent="0.2">
      <c r="D26" s="51"/>
      <c r="E26" s="51"/>
      <c r="F26" s="51"/>
    </row>
    <row r="27" spans="3:6" x14ac:dyDescent="0.2">
      <c r="C27" s="1" t="s">
        <v>58</v>
      </c>
      <c r="D27" s="51"/>
      <c r="E27" s="51">
        <f>Model!D102</f>
        <v>769.51834699999995</v>
      </c>
      <c r="F27" s="51">
        <f>Model!E102</f>
        <v>769.51834699999995</v>
      </c>
    </row>
    <row r="28" spans="3:6" x14ac:dyDescent="0.2">
      <c r="C28" s="1" t="s">
        <v>160</v>
      </c>
      <c r="D28" s="110"/>
      <c r="E28" s="110">
        <f ca="1">E15/E27</f>
        <v>2.7777834264044068</v>
      </c>
      <c r="F28" s="110">
        <f ca="1">F15/F27</f>
        <v>4.0444178443769303</v>
      </c>
    </row>
    <row r="29" spans="3:6" x14ac:dyDescent="0.2">
      <c r="D29" s="51"/>
      <c r="E29" s="51"/>
      <c r="F29" s="51"/>
    </row>
    <row r="30" spans="3:6" ht="15" x14ac:dyDescent="0.25">
      <c r="C30" s="26" t="s">
        <v>161</v>
      </c>
      <c r="D30" s="111"/>
      <c r="E30" s="111"/>
      <c r="F30" s="111"/>
    </row>
    <row r="31" spans="3:6" ht="15" x14ac:dyDescent="0.25">
      <c r="C31" s="60"/>
      <c r="D31" s="60"/>
      <c r="E31" s="112">
        <v>45702</v>
      </c>
      <c r="F31" s="112">
        <v>46203</v>
      </c>
    </row>
    <row r="32" spans="3:6" x14ac:dyDescent="0.2">
      <c r="E32" s="110">
        <f>-'GETY TSM'!L11</f>
        <v>-2.64</v>
      </c>
      <c r="F32" s="110">
        <f ca="1">F28</f>
        <v>4.0444178443769303</v>
      </c>
    </row>
    <row r="33" spans="1:23" ht="15" thickBot="1" x14ac:dyDescent="0.25"/>
    <row r="34" spans="1:23" ht="15.75" thickBot="1" x14ac:dyDescent="0.3">
      <c r="C34" s="94" t="s">
        <v>159</v>
      </c>
      <c r="D34" s="95"/>
      <c r="E34" s="95"/>
      <c r="F34" s="113">
        <f ca="1">XIRR(E32:F32,E31:F31,10%)</f>
        <v>0.36447033286094666</v>
      </c>
    </row>
    <row r="37" spans="1:23" ht="15" x14ac:dyDescent="0.25">
      <c r="A37" s="1" t="s">
        <v>190</v>
      </c>
      <c r="H37" s="45"/>
      <c r="I37" s="114" t="s">
        <v>162</v>
      </c>
      <c r="J37" s="114" t="s">
        <v>64</v>
      </c>
      <c r="K37" s="114" t="s">
        <v>153</v>
      </c>
    </row>
    <row r="38" spans="1:23" x14ac:dyDescent="0.2">
      <c r="H38" s="1" t="s">
        <v>94</v>
      </c>
      <c r="I38" s="51">
        <f>E4</f>
        <v>303</v>
      </c>
      <c r="J38" s="11">
        <f>'Pro Forma Capitalization'!C12</f>
        <v>2326.9337924799997</v>
      </c>
      <c r="K38" s="127">
        <v>7.6712098096369603</v>
      </c>
    </row>
    <row r="39" spans="1:23" x14ac:dyDescent="0.2">
      <c r="H39" s="1" t="s">
        <v>88</v>
      </c>
      <c r="I39" s="51">
        <f>E5</f>
        <v>281</v>
      </c>
      <c r="J39" s="11">
        <f>'Pro Forma Capitalization'!E12</f>
        <v>1246.2433579254998</v>
      </c>
      <c r="K39" s="127">
        <v>4.4350297435071164</v>
      </c>
    </row>
    <row r="40" spans="1:23" ht="15" x14ac:dyDescent="0.25">
      <c r="H40" s="14" t="s">
        <v>194</v>
      </c>
      <c r="I40" s="14"/>
      <c r="J40" s="14"/>
      <c r="K40" s="115">
        <f>SUMPRODUCT(I38:I39,K38:K39)/SUM(I38:I39)</f>
        <v>6.1140752230231143</v>
      </c>
      <c r="M40" s="128" t="s">
        <v>199</v>
      </c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x14ac:dyDescent="0.2">
      <c r="K41" s="98"/>
    </row>
    <row r="42" spans="1:23" ht="15" x14ac:dyDescent="0.25">
      <c r="A42" s="1" t="s">
        <v>190</v>
      </c>
      <c r="M42" s="45"/>
      <c r="N42" s="116"/>
      <c r="O42" s="162" t="s">
        <v>163</v>
      </c>
      <c r="P42" s="162"/>
      <c r="Q42" s="162"/>
      <c r="R42" s="162"/>
      <c r="S42" s="162"/>
      <c r="T42" s="162"/>
      <c r="U42" s="162"/>
      <c r="V42" s="162"/>
      <c r="W42" s="162"/>
    </row>
    <row r="43" spans="1:23" ht="15" x14ac:dyDescent="0.25">
      <c r="M43" s="45"/>
      <c r="N43" s="117">
        <f ca="1">F34</f>
        <v>0.36447033286094666</v>
      </c>
      <c r="O43" s="118">
        <v>6.25</v>
      </c>
      <c r="P43" s="118">
        <f>O43+0.25</f>
        <v>6.5</v>
      </c>
      <c r="Q43" s="118">
        <f t="shared" ref="Q43:W43" si="3">P43+0.25</f>
        <v>6.75</v>
      </c>
      <c r="R43" s="118">
        <f t="shared" si="3"/>
        <v>7</v>
      </c>
      <c r="S43" s="118">
        <f t="shared" si="3"/>
        <v>7.25</v>
      </c>
      <c r="T43" s="118">
        <f t="shared" si="3"/>
        <v>7.5</v>
      </c>
      <c r="U43" s="118">
        <f t="shared" si="3"/>
        <v>7.75</v>
      </c>
      <c r="V43" s="118">
        <f t="shared" si="3"/>
        <v>8</v>
      </c>
      <c r="W43" s="118">
        <f t="shared" si="3"/>
        <v>8.25</v>
      </c>
    </row>
    <row r="44" spans="1:23" ht="15" x14ac:dyDescent="0.25">
      <c r="M44" s="163" t="s">
        <v>164</v>
      </c>
      <c r="N44" s="119">
        <v>2.75</v>
      </c>
      <c r="O44" s="120">
        <f t="dataTable" ref="O44:W50" dt2D="1" dtr="1" r1="K38" r2="K39" ca="1"/>
        <v>-6.0723513364791858E-3</v>
      </c>
      <c r="P44" s="121">
        <v>2.6781466603279118E-2</v>
      </c>
      <c r="Q44" s="121">
        <v>5.9248098731040949E-2</v>
      </c>
      <c r="R44" s="121">
        <v>9.1348043084144598E-2</v>
      </c>
      <c r="S44" s="121">
        <v>0.12309992909431458</v>
      </c>
      <c r="T44" s="121">
        <v>0.15452074408531194</v>
      </c>
      <c r="U44" s="121">
        <v>0.18562608361244201</v>
      </c>
      <c r="V44" s="121">
        <v>0.21643024086952214</v>
      </c>
      <c r="W44" s="121">
        <v>0.24694640040397645</v>
      </c>
    </row>
    <row r="45" spans="1:23" ht="15" x14ac:dyDescent="0.25">
      <c r="F45" s="1" t="s">
        <v>61</v>
      </c>
      <c r="G45" s="1">
        <v>2.64</v>
      </c>
      <c r="M45" s="163"/>
      <c r="N45" s="119">
        <f>N44+0.25</f>
        <v>3</v>
      </c>
      <c r="O45" s="122">
        <v>2.4409332871437067E-2</v>
      </c>
      <c r="P45" s="30">
        <v>5.6903365254402163E-2</v>
      </c>
      <c r="Q45" s="30">
        <v>8.9029285311698944E-2</v>
      </c>
      <c r="R45" s="30">
        <v>0.12080585360527035</v>
      </c>
      <c r="S45" s="30">
        <v>0.15225016474723815</v>
      </c>
      <c r="T45" s="30">
        <v>0.18337791562080383</v>
      </c>
      <c r="U45" s="30">
        <v>0.21420348286628726</v>
      </c>
      <c r="V45" s="30">
        <v>0.24474013447761533</v>
      </c>
      <c r="W45" s="30">
        <v>0.27500014901161196</v>
      </c>
    </row>
    <row r="46" spans="1:23" ht="15" x14ac:dyDescent="0.25">
      <c r="F46" s="1" t="s">
        <v>196</v>
      </c>
      <c r="G46" s="1">
        <v>2.06</v>
      </c>
      <c r="M46" s="163"/>
      <c r="N46" s="119">
        <f t="shared" ref="N46:N50" si="4">N45+0.25</f>
        <v>3.25</v>
      </c>
      <c r="O46" s="122">
        <v>5.4556694626808164E-2</v>
      </c>
      <c r="P46" s="30">
        <v>8.6708691716194164E-2</v>
      </c>
      <c r="Q46" s="30">
        <v>0.11851002573966979</v>
      </c>
      <c r="R46" s="30">
        <v>0.14997791647911071</v>
      </c>
      <c r="S46" s="30">
        <v>0.1811281502246857</v>
      </c>
      <c r="T46" s="30">
        <v>0.21197519898414613</v>
      </c>
      <c r="U46" s="30">
        <v>0.24253241419792179</v>
      </c>
      <c r="V46" s="30">
        <v>0.27281211018562312</v>
      </c>
      <c r="W46" s="30">
        <v>0.3028257310390472</v>
      </c>
    </row>
    <row r="47" spans="1:23" ht="15" x14ac:dyDescent="0.25">
      <c r="F47" s="1" t="s">
        <v>197</v>
      </c>
      <c r="G47" s="110">
        <f>S83</f>
        <v>4.6111628330790797</v>
      </c>
      <c r="M47" s="163"/>
      <c r="N47" s="119">
        <f t="shared" si="4"/>
        <v>3.5</v>
      </c>
      <c r="O47" s="122">
        <v>8.4386244416236891E-2</v>
      </c>
      <c r="P47" s="30">
        <v>0.11621244549751283</v>
      </c>
      <c r="Q47" s="30">
        <v>0.14770399928092962</v>
      </c>
      <c r="R47" s="30">
        <v>0.17887679934501652</v>
      </c>
      <c r="S47" s="30">
        <v>0.20974538922309879</v>
      </c>
      <c r="T47" s="30">
        <v>0.24032321572303769</v>
      </c>
      <c r="U47" s="30">
        <v>0.27062267661094663</v>
      </c>
      <c r="V47" s="30">
        <v>0.30065525174140939</v>
      </c>
      <c r="W47" s="30">
        <v>0.33043159842491154</v>
      </c>
    </row>
    <row r="48" spans="1:23" ht="15" x14ac:dyDescent="0.25">
      <c r="M48" s="163"/>
      <c r="N48" s="119">
        <f t="shared" si="4"/>
        <v>3.75</v>
      </c>
      <c r="O48" s="122">
        <v>0.11391308903694153</v>
      </c>
      <c r="P48" s="30">
        <v>0.14542840123176576</v>
      </c>
      <c r="Q48" s="30">
        <v>0.17662383913993834</v>
      </c>
      <c r="R48" s="30">
        <v>0.20751405358314515</v>
      </c>
      <c r="S48" s="30">
        <v>0.23811256289482116</v>
      </c>
      <c r="T48" s="30">
        <v>0.26843183636665358</v>
      </c>
      <c r="U48" s="30">
        <v>0.29848341345787055</v>
      </c>
      <c r="V48" s="30">
        <v>0.3282780230045319</v>
      </c>
      <c r="W48" s="30">
        <v>0.35782565474510197</v>
      </c>
    </row>
    <row r="49" spans="1:23" ht="15" x14ac:dyDescent="0.25">
      <c r="F49" s="1" t="s">
        <v>198</v>
      </c>
      <c r="G49" s="10">
        <f>(G47-G45)/(G45-G46)</f>
        <v>3.3985566087570334</v>
      </c>
      <c r="M49" s="163"/>
      <c r="N49" s="119">
        <f t="shared" si="4"/>
        <v>4</v>
      </c>
      <c r="O49" s="122">
        <v>0.14315111041069034</v>
      </c>
      <c r="P49" s="30">
        <v>0.17436926960945132</v>
      </c>
      <c r="Q49" s="30">
        <v>0.20528118014335636</v>
      </c>
      <c r="R49" s="30">
        <v>0.23590043187141418</v>
      </c>
      <c r="S49" s="30">
        <v>0.2662395775318146</v>
      </c>
      <c r="T49" s="30">
        <v>0.29631022810935981</v>
      </c>
      <c r="U49" s="30">
        <v>0.32612314820289623</v>
      </c>
      <c r="V49" s="30">
        <v>0.35568838715553286</v>
      </c>
      <c r="W49" s="30">
        <v>0.38501529097557075</v>
      </c>
    </row>
    <row r="50" spans="1:23" ht="15" x14ac:dyDescent="0.25">
      <c r="M50" s="163"/>
      <c r="N50" s="119">
        <f t="shared" si="4"/>
        <v>4.25</v>
      </c>
      <c r="O50" s="122">
        <v>0.17211307883262636</v>
      </c>
      <c r="P50" s="30">
        <v>0.20304675698280336</v>
      </c>
      <c r="Q50" s="30">
        <v>0.23368683457374573</v>
      </c>
      <c r="R50" s="30">
        <v>0.26404591202735905</v>
      </c>
      <c r="S50" s="30">
        <v>0.29413568377494814</v>
      </c>
      <c r="T50" s="30">
        <v>0.32396697402000441</v>
      </c>
      <c r="U50" s="30">
        <v>0.35354987978935248</v>
      </c>
      <c r="V50" s="30">
        <v>0.38289378285408027</v>
      </c>
      <c r="W50" s="30">
        <v>0.41200746893882745</v>
      </c>
    </row>
    <row r="53" spans="1:23" ht="15" x14ac:dyDescent="0.25">
      <c r="A53" s="1" t="s">
        <v>190</v>
      </c>
      <c r="H53" s="1">
        <f>100/150</f>
        <v>0.66666666666666663</v>
      </c>
      <c r="M53" s="45"/>
      <c r="N53" s="116"/>
      <c r="O53" s="162" t="s">
        <v>165</v>
      </c>
      <c r="P53" s="162"/>
      <c r="Q53" s="162"/>
      <c r="R53" s="162"/>
      <c r="S53" s="162"/>
      <c r="T53" s="162"/>
      <c r="U53" s="162"/>
      <c r="V53" s="162"/>
      <c r="W53" s="162"/>
    </row>
    <row r="54" spans="1:23" ht="15" x14ac:dyDescent="0.25">
      <c r="M54" s="45"/>
      <c r="N54" s="117">
        <f ca="1">F34</f>
        <v>0.36447033286094666</v>
      </c>
      <c r="O54" s="118">
        <v>4.5</v>
      </c>
      <c r="P54" s="118">
        <f>O54+0.5</f>
        <v>5</v>
      </c>
      <c r="Q54" s="118">
        <f t="shared" ref="Q54:W54" si="5">P54+0.5</f>
        <v>5.5</v>
      </c>
      <c r="R54" s="118">
        <f t="shared" si="5"/>
        <v>6</v>
      </c>
      <c r="S54" s="118">
        <f t="shared" si="5"/>
        <v>6.5</v>
      </c>
      <c r="T54" s="118">
        <f t="shared" si="5"/>
        <v>7</v>
      </c>
      <c r="U54" s="118">
        <f t="shared" si="5"/>
        <v>7.5</v>
      </c>
      <c r="V54" s="118">
        <f t="shared" si="5"/>
        <v>8</v>
      </c>
      <c r="W54" s="118">
        <f t="shared" si="5"/>
        <v>8.5</v>
      </c>
    </row>
    <row r="55" spans="1:23" ht="15" x14ac:dyDescent="0.25">
      <c r="M55" s="163" t="s">
        <v>166</v>
      </c>
      <c r="N55" s="123">
        <v>-10</v>
      </c>
      <c r="O55" s="120">
        <f t="dataTable" ref="O55:W61" dt2D="1" dtr="1" r1="K40" r2="F6" ca="1"/>
        <v>-0.16527689062058923</v>
      </c>
      <c r="P55" s="121">
        <v>-4.8553821444511411E-2</v>
      </c>
      <c r="Q55" s="121">
        <v>6.3047757744789115E-2</v>
      </c>
      <c r="R55" s="121">
        <v>0.1704364597797394</v>
      </c>
      <c r="S55" s="121">
        <v>0.27426763176918034</v>
      </c>
      <c r="T55" s="121">
        <v>0.37503408789634707</v>
      </c>
      <c r="U55" s="121">
        <v>0.47311850190162663</v>
      </c>
      <c r="V55" s="121">
        <v>0.56882572770118711</v>
      </c>
      <c r="W55" s="121">
        <v>0.66240373253822338</v>
      </c>
    </row>
    <row r="56" spans="1:23" ht="15" x14ac:dyDescent="0.25">
      <c r="M56" s="163"/>
      <c r="N56" s="124">
        <v>10</v>
      </c>
      <c r="O56" s="122">
        <v>-0.1310137156397104</v>
      </c>
      <c r="P56" s="30">
        <v>-1.227640807628632E-2</v>
      </c>
      <c r="Q56" s="30">
        <v>0.10135201811790465</v>
      </c>
      <c r="R56" s="30">
        <v>0.21076270937919619</v>
      </c>
      <c r="S56" s="30">
        <v>0.31660206913948064</v>
      </c>
      <c r="T56" s="30">
        <v>0.41935831904411325</v>
      </c>
      <c r="U56" s="30">
        <v>0.51941187977790826</v>
      </c>
      <c r="V56" s="30">
        <v>0.61706662774085996</v>
      </c>
      <c r="W56" s="30">
        <v>0.71257029771804836</v>
      </c>
    </row>
    <row r="57" spans="1:23" ht="15" x14ac:dyDescent="0.25">
      <c r="M57" s="163"/>
      <c r="N57" s="124">
        <v>35</v>
      </c>
      <c r="O57" s="122">
        <v>-8.8878825306892409E-2</v>
      </c>
      <c r="P57" s="30">
        <v>3.2384923100471502E-2</v>
      </c>
      <c r="Q57" s="30">
        <v>0.14854637980461122</v>
      </c>
      <c r="R57" s="30">
        <v>0.26047841906547553</v>
      </c>
      <c r="S57" s="30">
        <v>0.36881828904151914</v>
      </c>
      <c r="T57" s="30">
        <v>0.47404964566230767</v>
      </c>
      <c r="U57" s="30">
        <v>0.57655079960823064</v>
      </c>
      <c r="V57" s="30">
        <v>0.67662492394447338</v>
      </c>
      <c r="W57" s="30">
        <v>0.77451981306076045</v>
      </c>
    </row>
    <row r="58" spans="1:23" ht="15" x14ac:dyDescent="0.25">
      <c r="M58" s="163"/>
      <c r="N58" s="124">
        <v>75</v>
      </c>
      <c r="O58" s="122">
        <v>-2.2925886511802673E-2</v>
      </c>
      <c r="P58" s="30">
        <v>0.10238968729972839</v>
      </c>
      <c r="Q58" s="30">
        <v>0.2225964963436127</v>
      </c>
      <c r="R58" s="30">
        <v>0.33854478001594546</v>
      </c>
      <c r="S58" s="30">
        <v>0.45086079239845289</v>
      </c>
      <c r="T58" s="30">
        <v>0.5600230753421781</v>
      </c>
      <c r="U58" s="30">
        <v>0.66640800833702107</v>
      </c>
      <c r="V58" s="30">
        <v>0.77031852006912249</v>
      </c>
      <c r="W58" s="30">
        <v>0.87200311422348031</v>
      </c>
    </row>
    <row r="59" spans="1:23" ht="15" x14ac:dyDescent="0.25">
      <c r="M59" s="163"/>
      <c r="N59" s="124">
        <v>100</v>
      </c>
      <c r="O59" s="122">
        <v>1.7460456490516665E-2</v>
      </c>
      <c r="P59" s="30">
        <v>0.14530915617942811</v>
      </c>
      <c r="Q59" s="30">
        <v>0.26803657412528992</v>
      </c>
      <c r="R59" s="30">
        <v>0.38648201823234563</v>
      </c>
      <c r="S59" s="30">
        <v>0.50126670002937312</v>
      </c>
      <c r="T59" s="30">
        <v>0.61286712288856504</v>
      </c>
      <c r="U59" s="30">
        <v>0.72165912389755271</v>
      </c>
      <c r="V59" s="30">
        <v>0.82794595956802364</v>
      </c>
      <c r="W59" s="30">
        <v>0.93197692632675189</v>
      </c>
    </row>
    <row r="60" spans="1:23" ht="15" x14ac:dyDescent="0.25">
      <c r="M60" s="163"/>
      <c r="N60" s="124">
        <v>125</v>
      </c>
      <c r="O60" s="122">
        <v>5.7257953286170976E-2</v>
      </c>
      <c r="P60" s="30">
        <v>0.18763739466667176</v>
      </c>
      <c r="Q60" s="30">
        <v>0.31287772059440622</v>
      </c>
      <c r="R60" s="30">
        <v>0.43380935788154595</v>
      </c>
      <c r="S60" s="30">
        <v>0.55104963183403033</v>
      </c>
      <c r="T60" s="30">
        <v>0.66507365107536331</v>
      </c>
      <c r="U60" s="30">
        <v>0.77625719308853158</v>
      </c>
      <c r="V60" s="30">
        <v>0.8849041581153867</v>
      </c>
      <c r="W60" s="30">
        <v>0.99126478433609</v>
      </c>
    </row>
    <row r="61" spans="1:23" ht="15" x14ac:dyDescent="0.25">
      <c r="M61" s="163"/>
      <c r="N61" s="124">
        <v>150</v>
      </c>
      <c r="O61" s="122">
        <v>9.6504777669906644E-2</v>
      </c>
      <c r="P61" s="30">
        <v>0.22941069006919865</v>
      </c>
      <c r="Q61" s="30">
        <v>0.35715520977973936</v>
      </c>
      <c r="R61" s="30">
        <v>0.48056152462959267</v>
      </c>
      <c r="S61" s="30">
        <v>0.60024406313896195</v>
      </c>
      <c r="T61" s="30">
        <v>0.71667715311050428</v>
      </c>
      <c r="U61" s="30">
        <v>0.83023689985275273</v>
      </c>
      <c r="V61" s="30">
        <v>0.94122804403305049</v>
      </c>
      <c r="W61" s="30">
        <v>1.0499019980430604</v>
      </c>
    </row>
    <row r="64" spans="1:23" ht="15" x14ac:dyDescent="0.25">
      <c r="M64" s="128" t="s">
        <v>200</v>
      </c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6" spans="13:23" ht="15" x14ac:dyDescent="0.25">
      <c r="M66" s="45"/>
      <c r="N66" s="116"/>
      <c r="O66" s="162" t="s">
        <v>163</v>
      </c>
      <c r="P66" s="162"/>
      <c r="Q66" s="162"/>
      <c r="R66" s="162"/>
      <c r="S66" s="162"/>
      <c r="T66" s="162"/>
      <c r="U66" s="162"/>
      <c r="V66" s="162"/>
      <c r="W66" s="162"/>
    </row>
    <row r="67" spans="13:23" ht="15" x14ac:dyDescent="0.25">
      <c r="M67" s="45"/>
      <c r="N67" s="129">
        <f ca="1">F28</f>
        <v>4.0444178443769303</v>
      </c>
      <c r="O67" s="118">
        <v>6.25</v>
      </c>
      <c r="P67" s="118">
        <f>O67+0.25</f>
        <v>6.5</v>
      </c>
      <c r="Q67" s="118">
        <f t="shared" ref="Q67:W67" si="6">P67+0.25</f>
        <v>6.75</v>
      </c>
      <c r="R67" s="118">
        <f t="shared" si="6"/>
        <v>7</v>
      </c>
      <c r="S67" s="118">
        <f t="shared" si="6"/>
        <v>7.25</v>
      </c>
      <c r="T67" s="118">
        <f t="shared" si="6"/>
        <v>7.5</v>
      </c>
      <c r="U67" s="118">
        <f t="shared" si="6"/>
        <v>7.75</v>
      </c>
      <c r="V67" s="118">
        <f t="shared" si="6"/>
        <v>8</v>
      </c>
      <c r="W67" s="118">
        <f t="shared" si="6"/>
        <v>8.25</v>
      </c>
    </row>
    <row r="68" spans="13:23" ht="15" x14ac:dyDescent="0.25">
      <c r="M68" s="163" t="s">
        <v>164</v>
      </c>
      <c r="N68" s="119">
        <v>2.75</v>
      </c>
      <c r="O68" s="130">
        <f t="dataTable" ref="O68:W74" dt2D="1" dtr="1" r1="K38" r2="K39" ca="1"/>
        <v>2.6180207282967243</v>
      </c>
      <c r="P68" s="131">
        <v>2.7375287470102769</v>
      </c>
      <c r="Q68" s="131">
        <v>2.8570367657238305</v>
      </c>
      <c r="R68" s="131">
        <v>2.9765447844373845</v>
      </c>
      <c r="S68" s="131">
        <v>3.0960528031509376</v>
      </c>
      <c r="T68" s="131">
        <v>3.2155608218644907</v>
      </c>
      <c r="U68" s="131">
        <v>3.3350688405780442</v>
      </c>
      <c r="V68" s="131">
        <v>3.4545768592915973</v>
      </c>
      <c r="W68" s="131">
        <v>3.5740848780051504</v>
      </c>
    </row>
    <row r="69" spans="13:23" ht="15" x14ac:dyDescent="0.25">
      <c r="M69" s="163"/>
      <c r="N69" s="119">
        <f>N68+0.25</f>
        <v>3</v>
      </c>
      <c r="O69" s="132">
        <v>2.728851597136686</v>
      </c>
      <c r="P69" s="133">
        <v>2.8483596158502396</v>
      </c>
      <c r="Q69" s="133">
        <v>2.9678676345637922</v>
      </c>
      <c r="R69" s="133">
        <v>3.0873756532773458</v>
      </c>
      <c r="S69" s="133">
        <v>3.2068836719908997</v>
      </c>
      <c r="T69" s="133">
        <v>3.3263916907044528</v>
      </c>
      <c r="U69" s="133">
        <v>3.4458997094180064</v>
      </c>
      <c r="V69" s="133">
        <v>3.5654077281315595</v>
      </c>
      <c r="W69" s="133">
        <v>3.6849157468451126</v>
      </c>
    </row>
    <row r="70" spans="13:23" ht="15" x14ac:dyDescent="0.25">
      <c r="M70" s="163"/>
      <c r="N70" s="119">
        <f t="shared" ref="N70:N74" si="7">N69+0.25</f>
        <v>3.25</v>
      </c>
      <c r="O70" s="132">
        <v>2.8396824659766482</v>
      </c>
      <c r="P70" s="133">
        <v>2.9591904846902013</v>
      </c>
      <c r="Q70" s="133">
        <v>3.0786985034037548</v>
      </c>
      <c r="R70" s="133">
        <v>3.1982065221173079</v>
      </c>
      <c r="S70" s="133">
        <v>3.317714540830861</v>
      </c>
      <c r="T70" s="133">
        <v>3.4372225595444155</v>
      </c>
      <c r="U70" s="133">
        <v>3.5567305782579681</v>
      </c>
      <c r="V70" s="133">
        <v>3.6762385969715217</v>
      </c>
      <c r="W70" s="133">
        <v>3.7957466156850743</v>
      </c>
    </row>
    <row r="71" spans="13:23" ht="15" x14ac:dyDescent="0.25">
      <c r="M71" s="163"/>
      <c r="N71" s="119">
        <f t="shared" si="7"/>
        <v>3.5</v>
      </c>
      <c r="O71" s="132">
        <v>2.9505133348166104</v>
      </c>
      <c r="P71" s="133">
        <v>3.0700213535301635</v>
      </c>
      <c r="Q71" s="133">
        <v>3.189529372243717</v>
      </c>
      <c r="R71" s="133">
        <v>3.3090373909572701</v>
      </c>
      <c r="S71" s="133">
        <v>3.4285454096708232</v>
      </c>
      <c r="T71" s="133">
        <v>3.5480534283843768</v>
      </c>
      <c r="U71" s="133">
        <v>3.6675614470979307</v>
      </c>
      <c r="V71" s="133">
        <v>3.7870694658114838</v>
      </c>
      <c r="W71" s="133">
        <v>3.9065774845250374</v>
      </c>
    </row>
    <row r="72" spans="13:23" ht="15" x14ac:dyDescent="0.25">
      <c r="M72" s="163"/>
      <c r="N72" s="119">
        <f t="shared" si="7"/>
        <v>3.75</v>
      </c>
      <c r="O72" s="132">
        <v>3.0613442036565726</v>
      </c>
      <c r="P72" s="133">
        <v>3.1808522223701261</v>
      </c>
      <c r="Q72" s="133">
        <v>3.3003602410836788</v>
      </c>
      <c r="R72" s="133">
        <v>3.4198682597972323</v>
      </c>
      <c r="S72" s="133">
        <v>3.5393762785107858</v>
      </c>
      <c r="T72" s="133">
        <v>3.6588842972243385</v>
      </c>
      <c r="U72" s="133">
        <v>3.7783923159378912</v>
      </c>
      <c r="V72" s="133">
        <v>3.897900334651446</v>
      </c>
      <c r="W72" s="133">
        <v>4.0174083533649991</v>
      </c>
    </row>
    <row r="73" spans="13:23" ht="15" x14ac:dyDescent="0.25">
      <c r="M73" s="163"/>
      <c r="N73" s="119">
        <f t="shared" si="7"/>
        <v>4</v>
      </c>
      <c r="O73" s="132">
        <v>3.1721750724965339</v>
      </c>
      <c r="P73" s="133">
        <v>3.2916830912100878</v>
      </c>
      <c r="Q73" s="133">
        <v>3.4111911099236414</v>
      </c>
      <c r="R73" s="133">
        <v>3.530699128637194</v>
      </c>
      <c r="S73" s="133">
        <v>3.6502071473507476</v>
      </c>
      <c r="T73" s="133">
        <v>3.7697151660643011</v>
      </c>
      <c r="U73" s="133">
        <v>3.8892231847778542</v>
      </c>
      <c r="V73" s="133">
        <v>4.0087312034914069</v>
      </c>
      <c r="W73" s="133">
        <v>4.1282392222049618</v>
      </c>
    </row>
    <row r="74" spans="13:23" ht="15" x14ac:dyDescent="0.25">
      <c r="M74" s="163"/>
      <c r="N74" s="119">
        <f t="shared" si="7"/>
        <v>4.25</v>
      </c>
      <c r="O74" s="132">
        <v>3.2830059413364956</v>
      </c>
      <c r="P74" s="133">
        <v>3.4025139600500491</v>
      </c>
      <c r="Q74" s="133">
        <v>3.5220219787636031</v>
      </c>
      <c r="R74" s="133">
        <v>3.6415299974771567</v>
      </c>
      <c r="S74" s="133">
        <v>3.7610380161907093</v>
      </c>
      <c r="T74" s="133">
        <v>3.8805460349042629</v>
      </c>
      <c r="U74" s="133">
        <v>4.0000540536178164</v>
      </c>
      <c r="V74" s="133">
        <v>4.1195620723313695</v>
      </c>
      <c r="W74" s="133">
        <v>4.2390700910449217</v>
      </c>
    </row>
    <row r="77" spans="13:23" ht="15" x14ac:dyDescent="0.25">
      <c r="M77" s="45"/>
      <c r="N77" s="116"/>
      <c r="O77" s="162" t="s">
        <v>165</v>
      </c>
      <c r="P77" s="162"/>
      <c r="Q77" s="162"/>
      <c r="R77" s="162"/>
      <c r="S77" s="162"/>
      <c r="T77" s="162"/>
      <c r="U77" s="162"/>
      <c r="V77" s="162"/>
      <c r="W77" s="162"/>
    </row>
    <row r="78" spans="13:23" ht="15" x14ac:dyDescent="0.25">
      <c r="M78" s="45"/>
      <c r="N78" s="129">
        <f ca="1">F28</f>
        <v>4.0444178443769303</v>
      </c>
      <c r="O78" s="118">
        <v>4.5</v>
      </c>
      <c r="P78" s="118">
        <f>O78+0.5</f>
        <v>5</v>
      </c>
      <c r="Q78" s="118">
        <f t="shared" ref="Q78:W78" si="8">P78+0.5</f>
        <v>5.5</v>
      </c>
      <c r="R78" s="118">
        <f t="shared" si="8"/>
        <v>6</v>
      </c>
      <c r="S78" s="118">
        <f t="shared" si="8"/>
        <v>6.5</v>
      </c>
      <c r="T78" s="118">
        <f t="shared" si="8"/>
        <v>7</v>
      </c>
      <c r="U78" s="118">
        <f t="shared" si="8"/>
        <v>7.5</v>
      </c>
      <c r="V78" s="118">
        <f t="shared" si="8"/>
        <v>8</v>
      </c>
      <c r="W78" s="118">
        <f t="shared" si="8"/>
        <v>8.5</v>
      </c>
    </row>
    <row r="79" spans="13:23" ht="15" x14ac:dyDescent="0.25">
      <c r="M79" s="163" t="s">
        <v>166</v>
      </c>
      <c r="N79" s="123">
        <v>-10</v>
      </c>
      <c r="O79" s="130">
        <f t="dataTable" ref="O79:W85" dt2D="1" dtr="1" r1="K40" r2="F6" ca="1"/>
        <v>2.0602165071690623</v>
      </c>
      <c r="P79" s="131">
        <v>2.4656649298302571</v>
      </c>
      <c r="Q79" s="131">
        <v>2.8711133524914518</v>
      </c>
      <c r="R79" s="131">
        <v>3.2765617751526466</v>
      </c>
      <c r="S79" s="131">
        <v>3.6820101978138418</v>
      </c>
      <c r="T79" s="131">
        <v>4.0874586204750365</v>
      </c>
      <c r="U79" s="131">
        <v>4.4929070431362312</v>
      </c>
      <c r="V79" s="131">
        <v>4.898355465797426</v>
      </c>
      <c r="W79" s="131">
        <v>5.3038038884586207</v>
      </c>
    </row>
    <row r="80" spans="13:23" ht="15" x14ac:dyDescent="0.25">
      <c r="M80" s="163"/>
      <c r="N80" s="124">
        <v>10</v>
      </c>
      <c r="O80" s="132">
        <v>2.1771727829367147</v>
      </c>
      <c r="P80" s="133">
        <v>2.5956163473498708</v>
      </c>
      <c r="Q80" s="133">
        <v>3.0140599117630269</v>
      </c>
      <c r="R80" s="133">
        <v>3.4325034761761835</v>
      </c>
      <c r="S80" s="133">
        <v>3.8509470405893396</v>
      </c>
      <c r="T80" s="133">
        <v>4.2693906050024957</v>
      </c>
      <c r="U80" s="133">
        <v>4.6878341694156518</v>
      </c>
      <c r="V80" s="133">
        <v>5.1062777338288079</v>
      </c>
      <c r="W80" s="133">
        <v>5.5247212982419649</v>
      </c>
    </row>
    <row r="81" spans="13:29" ht="15" x14ac:dyDescent="0.25">
      <c r="M81" s="163"/>
      <c r="N81" s="124">
        <v>35</v>
      </c>
      <c r="O81" s="132">
        <v>2.3233681276462801</v>
      </c>
      <c r="P81" s="133">
        <v>2.7580556192493879</v>
      </c>
      <c r="Q81" s="133">
        <v>3.1927431108524957</v>
      </c>
      <c r="R81" s="133">
        <v>3.627430602455604</v>
      </c>
      <c r="S81" s="133">
        <v>4.0621180940587118</v>
      </c>
      <c r="T81" s="133">
        <v>4.4968055856618196</v>
      </c>
      <c r="U81" s="133">
        <v>4.9314930772649275</v>
      </c>
      <c r="V81" s="133">
        <v>5.3661805688680362</v>
      </c>
      <c r="W81" s="133">
        <v>5.800868060471144</v>
      </c>
    </row>
    <row r="82" spans="13:29" ht="15" x14ac:dyDescent="0.25">
      <c r="M82" s="163"/>
      <c r="N82" s="124">
        <v>75</v>
      </c>
      <c r="O82" s="132">
        <v>2.5572806791815847</v>
      </c>
      <c r="P82" s="133">
        <v>3.0179584542886153</v>
      </c>
      <c r="Q82" s="133">
        <v>3.4786362293956463</v>
      </c>
      <c r="R82" s="133">
        <v>3.9393140045026769</v>
      </c>
      <c r="S82" s="133">
        <v>4.3999917796097074</v>
      </c>
      <c r="T82" s="133">
        <v>4.860669554716738</v>
      </c>
      <c r="U82" s="133">
        <v>5.3213473298237686</v>
      </c>
      <c r="V82" s="133">
        <v>5.7820251049308</v>
      </c>
      <c r="W82" s="133">
        <v>6.2427028800378306</v>
      </c>
    </row>
    <row r="83" spans="13:29" ht="15" x14ac:dyDescent="0.25">
      <c r="M83" s="163"/>
      <c r="N83" s="124">
        <v>100</v>
      </c>
      <c r="O83" s="132">
        <v>2.7034760238911502</v>
      </c>
      <c r="P83" s="133">
        <v>3.1803977261881324</v>
      </c>
      <c r="Q83" s="133">
        <v>3.6573194284851152</v>
      </c>
      <c r="R83" s="133">
        <v>4.1342411307820974</v>
      </c>
      <c r="S83" s="133">
        <v>4.6111628330790797</v>
      </c>
      <c r="T83" s="133">
        <v>5.088084535376062</v>
      </c>
      <c r="U83" s="133">
        <v>5.5650062376730451</v>
      </c>
      <c r="V83" s="133">
        <v>6.0419279399700274</v>
      </c>
      <c r="W83" s="133">
        <v>6.5188496422670106</v>
      </c>
    </row>
    <row r="84" spans="13:29" ht="15" x14ac:dyDescent="0.25">
      <c r="M84" s="163"/>
      <c r="N84" s="124">
        <v>125</v>
      </c>
      <c r="O84" s="132">
        <v>2.8496713686007156</v>
      </c>
      <c r="P84" s="133">
        <v>3.34283699808765</v>
      </c>
      <c r="Q84" s="133">
        <v>3.836002627574584</v>
      </c>
      <c r="R84" s="133">
        <v>4.329168257061518</v>
      </c>
      <c r="S84" s="133">
        <v>4.822333886548452</v>
      </c>
      <c r="T84" s="133">
        <v>5.315499516035386</v>
      </c>
      <c r="U84" s="133">
        <v>5.8086651455223208</v>
      </c>
      <c r="V84" s="133">
        <v>6.3018307750092557</v>
      </c>
      <c r="W84" s="133">
        <v>6.7949964044961897</v>
      </c>
    </row>
    <row r="85" spans="13:29" ht="15" x14ac:dyDescent="0.25">
      <c r="M85" s="163"/>
      <c r="N85" s="124">
        <v>150</v>
      </c>
      <c r="O85" s="132">
        <v>2.995866713310281</v>
      </c>
      <c r="P85" s="133">
        <v>3.5052762699871671</v>
      </c>
      <c r="Q85" s="133">
        <v>4.0146858266640528</v>
      </c>
      <c r="R85" s="133">
        <v>4.5240953833409385</v>
      </c>
      <c r="S85" s="133">
        <v>5.0335049400178242</v>
      </c>
      <c r="T85" s="133">
        <v>5.5429144966947108</v>
      </c>
      <c r="U85" s="133">
        <v>6.0523240533715965</v>
      </c>
      <c r="V85" s="133">
        <v>6.5617336100484831</v>
      </c>
      <c r="W85" s="133">
        <v>7.0711431667253688</v>
      </c>
    </row>
    <row r="88" spans="13:29" x14ac:dyDescent="0.2">
      <c r="Z88" s="12" t="s">
        <v>215</v>
      </c>
      <c r="AA88" s="12"/>
      <c r="AB88" s="12"/>
      <c r="AC88" s="12"/>
    </row>
    <row r="89" spans="13:29" ht="15" x14ac:dyDescent="0.25">
      <c r="Z89" s="97"/>
      <c r="AA89" s="97" t="s">
        <v>223</v>
      </c>
      <c r="AB89" s="97" t="s">
        <v>224</v>
      </c>
      <c r="AC89" s="97" t="s">
        <v>225</v>
      </c>
    </row>
    <row r="90" spans="13:29" x14ac:dyDescent="0.2">
      <c r="Z90" s="1" t="s">
        <v>151</v>
      </c>
      <c r="AA90" s="51">
        <f>D4</f>
        <v>294</v>
      </c>
      <c r="AB90" s="51">
        <f>E4</f>
        <v>303</v>
      </c>
      <c r="AC90" s="51">
        <f>F4</f>
        <v>318</v>
      </c>
    </row>
    <row r="91" spans="13:29" x14ac:dyDescent="0.2">
      <c r="Z91" s="1" t="s">
        <v>153</v>
      </c>
      <c r="AB91" s="98">
        <f>K38</f>
        <v>7.6712098096369603</v>
      </c>
      <c r="AC91" s="98">
        <f>AB91</f>
        <v>7.6712098096369603</v>
      </c>
    </row>
    <row r="92" spans="13:29" x14ac:dyDescent="0.2">
      <c r="Z92" s="1" t="s">
        <v>216</v>
      </c>
      <c r="AB92" s="1">
        <f>AB91*AB90</f>
        <v>2324.376572319999</v>
      </c>
      <c r="AC92" s="1">
        <f>AC91*AC90</f>
        <v>2439.4447194645536</v>
      </c>
    </row>
    <row r="93" spans="13:29" x14ac:dyDescent="0.2">
      <c r="Z93" s="1" t="s">
        <v>63</v>
      </c>
      <c r="AB93" s="24">
        <f>-SUM('GETY TSM'!L16:L20)</f>
        <v>-1239.1389999999999</v>
      </c>
      <c r="AC93" s="24">
        <f>AB93</f>
        <v>-1239.1389999999999</v>
      </c>
    </row>
    <row r="94" spans="13:29" x14ac:dyDescent="0.2">
      <c r="Z94" s="1" t="s">
        <v>217</v>
      </c>
      <c r="AB94" s="1">
        <f>SUM(AB92:AB93)</f>
        <v>1085.2375723199991</v>
      </c>
      <c r="AC94" s="1">
        <f>SUM(AC92:AC93)</f>
        <v>1200.3057194645537</v>
      </c>
    </row>
    <row r="95" spans="13:29" x14ac:dyDescent="0.2">
      <c r="Z95" s="1" t="s">
        <v>58</v>
      </c>
      <c r="AB95" s="16">
        <f>'GETY TSM'!G19</f>
        <v>412.04348199999998</v>
      </c>
      <c r="AC95" s="16">
        <f>AB95</f>
        <v>412.04348199999998</v>
      </c>
    </row>
    <row r="96" spans="13:29" x14ac:dyDescent="0.2">
      <c r="Z96" s="1" t="s">
        <v>220</v>
      </c>
      <c r="AA96" s="126">
        <v>2.1</v>
      </c>
      <c r="AB96" s="126">
        <f>AB94/AB95</f>
        <v>2.633793809945522</v>
      </c>
      <c r="AC96" s="126">
        <f>AC94/AC95</f>
        <v>2.9130559562268572</v>
      </c>
    </row>
    <row r="98" spans="26:29" x14ac:dyDescent="0.2">
      <c r="Z98" s="1" t="s">
        <v>218</v>
      </c>
      <c r="AA98" s="51">
        <f>D5</f>
        <v>250</v>
      </c>
      <c r="AB98" s="51">
        <f t="shared" ref="AB98:AC98" si="9">E5</f>
        <v>281</v>
      </c>
      <c r="AC98" s="51">
        <f t="shared" si="9"/>
        <v>316</v>
      </c>
    </row>
    <row r="99" spans="26:29" x14ac:dyDescent="0.2">
      <c r="Z99" s="1" t="s">
        <v>153</v>
      </c>
      <c r="AB99" s="98">
        <f>K39</f>
        <v>4.4350297435071164</v>
      </c>
      <c r="AC99" s="98">
        <f>AB99</f>
        <v>4.4350297435071164</v>
      </c>
    </row>
    <row r="100" spans="26:29" x14ac:dyDescent="0.2">
      <c r="Z100" s="1" t="s">
        <v>216</v>
      </c>
      <c r="AB100" s="1">
        <f>AB99*AB98</f>
        <v>1246.2433579254998</v>
      </c>
      <c r="AC100" s="1">
        <f>AC99*AC98</f>
        <v>1401.4693989482487</v>
      </c>
    </row>
    <row r="101" spans="26:29" x14ac:dyDescent="0.2">
      <c r="Z101" s="1" t="s">
        <v>63</v>
      </c>
      <c r="AB101" s="24">
        <f>-SUM('SSTK TSM'!L16:L20)</f>
        <v>-147.833</v>
      </c>
      <c r="AC101" s="24">
        <f>AB101</f>
        <v>-147.833</v>
      </c>
    </row>
    <row r="102" spans="26:29" x14ac:dyDescent="0.2">
      <c r="Z102" s="1" t="s">
        <v>217</v>
      </c>
      <c r="AB102" s="1">
        <f>SUM(AB100:AB101)</f>
        <v>1098.4103579254997</v>
      </c>
      <c r="AC102" s="1">
        <f>SUM(AC100:AC101)</f>
        <v>1253.6363989482486</v>
      </c>
    </row>
    <row r="103" spans="26:29" x14ac:dyDescent="0.2">
      <c r="Z103" s="1" t="s">
        <v>58</v>
      </c>
      <c r="AB103" s="16">
        <f>'SSTK TSM'!G19</f>
        <v>38.074864999999996</v>
      </c>
      <c r="AC103" s="16">
        <f>AB103</f>
        <v>38.074864999999996</v>
      </c>
    </row>
    <row r="104" spans="26:29" x14ac:dyDescent="0.2">
      <c r="Z104" s="1" t="s">
        <v>219</v>
      </c>
      <c r="AA104" s="126">
        <v>30.35</v>
      </c>
      <c r="AB104" s="126">
        <f>AB102/AB103</f>
        <v>28.848699999999997</v>
      </c>
      <c r="AC104" s="126">
        <f>AC102/AC103</f>
        <v>32.9255638581581</v>
      </c>
    </row>
    <row r="106" spans="26:29" x14ac:dyDescent="0.2">
      <c r="Z106" s="1" t="s">
        <v>221</v>
      </c>
      <c r="AA106" s="164">
        <f>AA96</f>
        <v>2.1</v>
      </c>
      <c r="AB106" s="110">
        <v>2.7777834264044068</v>
      </c>
      <c r="AC106" s="110">
        <v>4.0444178443769303</v>
      </c>
    </row>
    <row r="107" spans="26:29" x14ac:dyDescent="0.2">
      <c r="Z107" s="1" t="s">
        <v>222</v>
      </c>
      <c r="AA107" s="164">
        <f>AA106</f>
        <v>2.1</v>
      </c>
      <c r="AB107" s="110">
        <f ca="1">E28</f>
        <v>2.7777834264044068</v>
      </c>
      <c r="AC107" s="110">
        <f ca="1">F28</f>
        <v>4.0444178443769303</v>
      </c>
    </row>
  </sheetData>
  <mergeCells count="8">
    <mergeCell ref="O77:W77"/>
    <mergeCell ref="M79:M85"/>
    <mergeCell ref="M44:M50"/>
    <mergeCell ref="O42:W42"/>
    <mergeCell ref="O53:W53"/>
    <mergeCell ref="M55:M61"/>
    <mergeCell ref="O66:W66"/>
    <mergeCell ref="M68:M74"/>
  </mergeCells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9D7CD-7915-4B4E-B868-03F66E674F65}">
  <dimension ref="B3:E9"/>
  <sheetViews>
    <sheetView showGridLines="0" workbookViewId="0"/>
  </sheetViews>
  <sheetFormatPr defaultRowHeight="14.25" x14ac:dyDescent="0.2"/>
  <cols>
    <col min="1" max="1" width="9.140625" style="1"/>
    <col min="2" max="2" width="11.28515625" style="1" bestFit="1" customWidth="1"/>
    <col min="3" max="5" width="9.28515625" style="1" bestFit="1" customWidth="1"/>
    <col min="6" max="16384" width="9.140625" style="1"/>
  </cols>
  <sheetData>
    <row r="3" spans="2:5" x14ac:dyDescent="0.2">
      <c r="B3" s="12" t="s">
        <v>76</v>
      </c>
      <c r="C3" s="12" t="s">
        <v>29</v>
      </c>
      <c r="D3" s="12" t="s">
        <v>7</v>
      </c>
      <c r="E3" s="12" t="s">
        <v>77</v>
      </c>
    </row>
    <row r="4" spans="2:5" x14ac:dyDescent="0.2">
      <c r="B4" s="125">
        <v>45702</v>
      </c>
      <c r="C4" s="126">
        <v>2.78</v>
      </c>
      <c r="D4" s="126">
        <v>29.63</v>
      </c>
      <c r="E4" s="1">
        <f>D4/C4</f>
        <v>10.658273381294965</v>
      </c>
    </row>
    <row r="5" spans="2:5" x14ac:dyDescent="0.2">
      <c r="B5" s="125">
        <v>45657</v>
      </c>
      <c r="C5" s="126">
        <v>2.1</v>
      </c>
      <c r="D5" s="126">
        <v>30.7</v>
      </c>
      <c r="E5" s="1">
        <f t="shared" ref="E5:E8" si="0">D5/C5</f>
        <v>14.619047619047619</v>
      </c>
    </row>
    <row r="6" spans="2:5" x14ac:dyDescent="0.2">
      <c r="B6" s="125">
        <v>45565</v>
      </c>
      <c r="C6" s="126">
        <v>3.84</v>
      </c>
      <c r="D6" s="126">
        <v>35.47</v>
      </c>
      <c r="E6" s="1">
        <f t="shared" si="0"/>
        <v>9.2369791666666661</v>
      </c>
    </row>
    <row r="7" spans="2:5" x14ac:dyDescent="0.2">
      <c r="B7" s="125">
        <v>45473</v>
      </c>
      <c r="C7" s="126">
        <v>3.19</v>
      </c>
      <c r="D7" s="126">
        <v>38.56</v>
      </c>
      <c r="E7" s="1">
        <f t="shared" si="0"/>
        <v>12.087774294670847</v>
      </c>
    </row>
    <row r="8" spans="2:5" x14ac:dyDescent="0.2">
      <c r="B8" s="125">
        <v>45382</v>
      </c>
      <c r="C8" s="126">
        <v>3.53</v>
      </c>
      <c r="D8" s="126">
        <v>46.15</v>
      </c>
      <c r="E8" s="1">
        <f t="shared" si="0"/>
        <v>13.073654390934845</v>
      </c>
    </row>
    <row r="9" spans="2:5" x14ac:dyDescent="0.2">
      <c r="B9" s="125">
        <v>45291</v>
      </c>
      <c r="C9" s="126">
        <v>5.0199999999999996</v>
      </c>
      <c r="D9" s="126">
        <v>48.28</v>
      </c>
      <c r="E9" s="1">
        <f>D9/C9</f>
        <v>9.617529880478088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SSTK TSM</vt:lpstr>
      <vt:lpstr>GETY TSM</vt:lpstr>
      <vt:lpstr>Pro Forma Capitalization</vt:lpstr>
      <vt:lpstr>S&amp;U</vt:lpstr>
      <vt:lpstr>Financing</vt:lpstr>
      <vt:lpstr>Model</vt:lpstr>
      <vt:lpstr>Value Creation</vt:lpstr>
      <vt:lpstr>Exchange Ratio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schmitt</dc:creator>
  <cp:lastModifiedBy>eric schmitt</cp:lastModifiedBy>
  <dcterms:created xsi:type="dcterms:W3CDTF">2025-02-16T17:49:53Z</dcterms:created>
  <dcterms:modified xsi:type="dcterms:W3CDTF">2025-02-18T00:20:29Z</dcterms:modified>
</cp:coreProperties>
</file>