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omments3.xml" ContentType="application/vnd.openxmlformats-officedocument.spreadsheetml.comments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drawings/drawing4.xml" ContentType="application/vnd.openxmlformats-officedocument.drawing+xml"/>
  <Override PartName="/xl/comments9.xml" ContentType="application/vnd.openxmlformats-officedocument.spreadsheetml.comments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5.xml" ContentType="application/vnd.openxmlformats-officedocument.drawing+xml"/>
  <Override PartName="/xl/comments10.xml" ContentType="application/vnd.openxmlformats-officedocument.spreadsheetml.comments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drawings/drawing6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26a9230c60c51ab/Desktop/Howmet/"/>
    </mc:Choice>
  </mc:AlternateContent>
  <xr:revisionPtr revIDLastSave="7990" documentId="8_{D6FE2085-0DC1-4789-A755-A2FC91969C03}" xr6:coauthVersionLast="47" xr6:coauthVersionMax="47" xr10:uidLastSave="{B37AEDDD-9299-4F5A-9189-1CA672C06B6C}"/>
  <bookViews>
    <workbookView xWindow="-120" yWindow="-120" windowWidth="29040" windowHeight="15720" xr2:uid="{9E909E00-B3B3-4DB0-B625-A61E884164AE}"/>
  </bookViews>
  <sheets>
    <sheet name="Model" sheetId="1" r:id="rId1"/>
    <sheet name="Charts" sheetId="35" r:id="rId2"/>
    <sheet name="Historical EIA Data" sheetId="33" r:id="rId3"/>
    <sheet name="vs. Consensus" sheetId="32" state="hidden" r:id="rId4"/>
    <sheet name="Sheet1" sheetId="30" state="hidden" r:id="rId5"/>
    <sheet name="Data Center Demand Build" sheetId="10" r:id="rId6"/>
    <sheet name="DCF" sheetId="3" r:id="rId7"/>
    <sheet name="WACC" sheetId="4" r:id="rId8"/>
    <sheet name="Beta Determination" sheetId="5" r:id="rId9"/>
    <sheet name="IRR Analysis" sheetId="29" r:id="rId10"/>
    <sheet name="Financial Overview" sheetId="28" r:id="rId11"/>
    <sheet name="ROIC" sheetId="12" r:id="rId12"/>
    <sheet name="Sheet2" sheetId="31" r:id="rId13"/>
    <sheet name="Capitalized Earnings" sheetId="13" r:id="rId14"/>
    <sheet name="TSM&gt;&gt;" sheetId="25" r:id="rId15"/>
    <sheet name="TDG - TSM" sheetId="14" r:id="rId16"/>
    <sheet name="APH - TSM" sheetId="16" r:id="rId17"/>
    <sheet name="ETN - TSM" sheetId="17" r:id="rId18"/>
    <sheet name="AME - TSM" sheetId="18" r:id="rId19"/>
    <sheet name="HWM- TSM" sheetId="19" r:id="rId20"/>
    <sheet name="IEX- TSM" sheetId="20" r:id="rId21"/>
    <sheet name="ROP- TSM" sheetId="21" r:id="rId22"/>
    <sheet name="HEI- TSM" sheetId="23" r:id="rId23"/>
    <sheet name="VRT- TSM" sheetId="24" r:id="rId24"/>
    <sheet name="Energy Costs" sheetId="27" r:id="rId25"/>
  </sheets>
  <externalReferences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Adj_EPS">'[1]Main Worksheet'!$A$98:$AY$98</definedName>
    <definedName name="Adjusted_Earnings_Per_Share__attributable_to_Leidos">'[2]Main Worksheet'!$A$138:$AQ$138</definedName>
    <definedName name="Adjusted_EBITDA">'[3]Main Worksheet'!$A$60:$AY$60</definedName>
    <definedName name="Adjusted_EBITDA_Margin">'[3]Main Worksheet'!$A$61:$AY$61</definedName>
    <definedName name="Adjusted_EPS">'[4]Main Worksheet'!$A$124:$BP$124</definedName>
    <definedName name="AEBIT">'[1]Main Worksheet'!$A$60:$AY$60</definedName>
    <definedName name="AEBIT_margin">'[1]Main Worksheet'!$A$61:$AY$61</definedName>
    <definedName name="AEBITDA">'[1]Main Worksheet'!$A$77:$AY$77</definedName>
    <definedName name="AEBITDA_margin">'[1]Main Worksheet'!$A$80:$AY$80</definedName>
    <definedName name="Aerospace">#REF!</definedName>
    <definedName name="Capex">#REF!</definedName>
    <definedName name="Cash">'[4]Main Worksheet'!$A$284:$FJ$284</definedName>
    <definedName name="Cash_EPS__excl._intangible_amortization">'[3]Main Worksheet'!$A$91:$AY$91</definedName>
    <definedName name="Cash_Net_Income__excl._intangible_amortization">'[3]Main Worksheet'!$A$88:$AY$88</definedName>
    <definedName name="Cash_used__provided__by_MARPA">'[3]Main Worksheet'!$A$137:$AY$137</definedName>
    <definedName name="CFO">'[1]Main Worksheet'!$A$124:$AY$124</definedName>
    <definedName name="Combat_Systems">#REF!</definedName>
    <definedName name="Core_EPS">[5]Main!$A$88:$AH$88</definedName>
    <definedName name="Core_Operating_Income">[5]Main!$A$54:$AD$55</definedName>
    <definedName name="date">#REF!</definedName>
    <definedName name="Diluted_EPS">#REF!</definedName>
    <definedName name="diluted_shares">'[1]Main Worksheet'!$A$46:$AY$46</definedName>
    <definedName name="Diluted_Shares_Outstanding">#REF!</definedName>
    <definedName name="Div_Per_Share">[5]Main!$A$90:$AJ$90</definedName>
    <definedName name="Dividends_per_Share">#REF!</definedName>
    <definedName name="EBIT_Margin">#REF!</definedName>
    <definedName name="EBITDA_as_Defined">'[4]Main Worksheet'!$A$145:$BO$145</definedName>
    <definedName name="EPS___Diluted">'[2]Main Worksheet'!$A$80:$AQ$80</definedName>
    <definedName name="FCF">'[1]Main Worksheet'!$A$152:$AY$152</definedName>
    <definedName name="FCF_Net_Income">#REF!</definedName>
    <definedName name="Free_Cash_Flow">#REF!</definedName>
    <definedName name="Free_Cash_Flow__ex._MARPA">'[3]Main Worksheet'!$A$138:$AY$138</definedName>
    <definedName name="Free_Cash_Flow_per_Share">#REF!</definedName>
    <definedName name="FY">'[1]Main Worksheet'!$A$2:$AY$2</definedName>
    <definedName name="GAAP_EPS">'[1]Main Worksheet'!$A$42:$AY$42</definedName>
    <definedName name="gross_debt">'[1]Main Worksheet'!$A$222:$AY$222</definedName>
    <definedName name="Gross_Profit">'[1]Main Worksheet'!$A$19:$AY$19</definedName>
    <definedName name="Gulfstream_Deliveries">#REF!</definedName>
    <definedName name="Leverage__Net_Debt_EBITDA">#REF!</definedName>
    <definedName name="Leverage_Data">[5]Main!$A$244:$AQ$250</definedName>
    <definedName name="Marine">#REF!</definedName>
    <definedName name="Net_Debt">#REF!</definedName>
    <definedName name="Net_Income">#REF!</definedName>
    <definedName name="net_leverage">'[1]Main Worksheet'!$A$229:$AY$229</definedName>
    <definedName name="Net_sales">'[1]Main Worksheet'!$A$8:$AY$8</definedName>
    <definedName name="Operating_cash_flow">#REF!</definedName>
    <definedName name="Operating_CF">'[4]Main Worksheet'!$A$178:$BH$178</definedName>
    <definedName name="Operating_income">#REF!</definedName>
    <definedName name="Operating_Income___GAAP">'[3]Main Worksheet'!$A$26:$AY$26</definedName>
    <definedName name="Operating_Margin___GAAP">'[3]Main Worksheet'!$A$27:$AY$27</definedName>
    <definedName name="Period_End">[5]Main!$A$4:$AQ$5</definedName>
    <definedName name="Period_Ended">'[1]Main Worksheet'!$A$3:$AY$3</definedName>
    <definedName name="Reported_Sales">'[2]Main Worksheet'!$A$11:$AQ$11</definedName>
    <definedName name="Rev_ex_billable">'[1]Main Worksheet'!$A$50:$AY$50</definedName>
    <definedName name="Sales">#REF!</definedName>
    <definedName name="Segment_EBIT">[5]Main!$A$29:$AB$40</definedName>
    <definedName name="Segment_Sales">[5]Main!$A$7:$AB$13</definedName>
    <definedName name="Sharecount">'[2]Main Worksheet'!$C$86:$AQ$86</definedName>
    <definedName name="Technologies">#REF!</definedName>
    <definedName name="Total_Adjusted_Operating_Income">'[2]Main Worksheet'!$A$112:$AQ$112</definedName>
    <definedName name="Total_Adjusted_Operating_Income_Margin">'[2]Main Worksheet'!$A$113:$AQ$113</definedName>
    <definedName name="Total_Backlog">'[3]Main Worksheet'!$A$209:$AY$209</definedName>
    <definedName name="total_cash">'[1]Main Worksheet'!$A$223:$AY$223</definedName>
    <definedName name="Total_Debt">#REF!</definedName>
    <definedName name="Total_Headcount">'[3]Main Worksheet'!$A$215:$AY$215</definedName>
    <definedName name="TXT_Adj_Earnings">'[6]Main Worksheet'!$A$195:$AS$195</definedName>
    <definedName name="TXT_Adj_EBIT">'[6]Main Worksheet'!$A$160:$AS$160</definedName>
    <definedName name="TXT_Adj_EBIT_Margin">'[6]Main Worksheet'!$A$161:$AS$161</definedName>
    <definedName name="TXT_Adj_EBITDA">'[6]Main Worksheet'!$A$208:$AS$209</definedName>
    <definedName name="TXT_Adj_EPS">'[6]Main Worksheet'!$A$198:$AS$198</definedName>
    <definedName name="TXT_Bizjet_Delivs">'[6]Main Worksheet'!$A$16:$AS$16</definedName>
    <definedName name="TXT_Cash_Flow">'[6]Main Worksheet'!$A$263:$AS$266</definedName>
    <definedName name="TXT_FACTSET_EBITDA">'[6]Main Worksheet'!$A$211:$AS$212</definedName>
    <definedName name="TXT_FACTSET_EPS">'[6]Main Worksheet'!$A$200:$AS$201</definedName>
    <definedName name="TXT_FACTSET_FCF">'[6]Main Worksheet'!$A$268:$AS$269</definedName>
    <definedName name="TXT_FACTSET_SALES">'[6]Main Worksheet'!$A$122:$AS$123</definedName>
    <definedName name="TXT_Net_Debt">'[6]Main Worksheet'!$A$367:$AS$367</definedName>
    <definedName name="TXT_Net_Leverage">'[6]Main Worksheet'!$A$370:$AS$370</definedName>
    <definedName name="TXT_Period_End">'[6]Main Worksheet'!$A$2:$AS$3</definedName>
    <definedName name="TXT_Sales">'[6]Main Worksheet'!$A$120:$AS$120</definedName>
    <definedName name="TXT_Sales_Growth">'[6]Main Worksheet'!$A$131:$AS$131</definedName>
    <definedName name="Weighted_Average_Diluted_Shares_Outstanding">'[3]Main Worksheet'!$A$47:$AY$47</definedName>
    <definedName name="Yea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O364" i="1" l="1"/>
  <c r="AQ364" i="1" s="1"/>
  <c r="AO366" i="1"/>
  <c r="AQ363" i="1"/>
  <c r="AO368" i="1"/>
  <c r="F20" i="29"/>
  <c r="F26" i="29"/>
  <c r="F10" i="29"/>
  <c r="D10" i="29"/>
  <c r="AX365" i="1"/>
  <c r="AX364" i="1"/>
  <c r="AX363" i="1"/>
  <c r="G28" i="35"/>
  <c r="F28" i="35"/>
  <c r="G27" i="35"/>
  <c r="F27" i="35"/>
  <c r="G26" i="35"/>
  <c r="F26" i="35"/>
  <c r="G25" i="35"/>
  <c r="F25" i="35"/>
  <c r="G24" i="35"/>
  <c r="F24" i="35"/>
  <c r="G16" i="35"/>
  <c r="F16" i="35"/>
  <c r="G22" i="35"/>
  <c r="F22" i="35"/>
  <c r="G10" i="35"/>
  <c r="F10" i="35"/>
  <c r="AD107" i="1"/>
  <c r="AE107" i="1" s="1"/>
  <c r="AF107" i="1" s="1"/>
  <c r="AG107" i="1" s="1"/>
  <c r="AG109" i="1" s="1"/>
  <c r="S107" i="1"/>
  <c r="T107" i="1" s="1"/>
  <c r="AD163" i="1"/>
  <c r="AE163" i="1" s="1"/>
  <c r="AF163" i="1" s="1"/>
  <c r="AG163" i="1" s="1"/>
  <c r="AD161" i="1"/>
  <c r="AC165" i="1"/>
  <c r="AD165" i="1" s="1"/>
  <c r="AE165" i="1" s="1"/>
  <c r="AF165" i="1" s="1"/>
  <c r="AG165" i="1" s="1"/>
  <c r="AC163" i="1"/>
  <c r="AC161" i="1"/>
  <c r="AC159" i="1"/>
  <c r="AD159" i="1" s="1"/>
  <c r="AE159" i="1" s="1"/>
  <c r="S165" i="1"/>
  <c r="T165" i="1"/>
  <c r="U165" i="1"/>
  <c r="V165" i="1"/>
  <c r="R165" i="1"/>
  <c r="S163" i="1"/>
  <c r="T163" i="1"/>
  <c r="U163" i="1"/>
  <c r="V163" i="1"/>
  <c r="R163" i="1"/>
  <c r="S161" i="1"/>
  <c r="T161" i="1"/>
  <c r="U161" i="1"/>
  <c r="V161" i="1"/>
  <c r="R161" i="1"/>
  <c r="S159" i="1"/>
  <c r="T159" i="1"/>
  <c r="U159" i="1"/>
  <c r="V159" i="1"/>
  <c r="R159" i="1"/>
  <c r="T12" i="32"/>
  <c r="U12" i="32"/>
  <c r="V12" i="32"/>
  <c r="V33" i="32" s="1"/>
  <c r="V24" i="32"/>
  <c r="U24" i="32"/>
  <c r="T24" i="32"/>
  <c r="S24" i="32"/>
  <c r="R24" i="32"/>
  <c r="Q24" i="32"/>
  <c r="P24" i="32"/>
  <c r="O24" i="32"/>
  <c r="N24" i="32"/>
  <c r="M24" i="32"/>
  <c r="E24" i="32"/>
  <c r="F24" i="32"/>
  <c r="G24" i="32"/>
  <c r="H24" i="32"/>
  <c r="I24" i="32"/>
  <c r="J24" i="32"/>
  <c r="K24" i="32"/>
  <c r="D24" i="32"/>
  <c r="J12" i="32"/>
  <c r="I12" i="32"/>
  <c r="H12" i="32"/>
  <c r="G12" i="32"/>
  <c r="K12" i="32"/>
  <c r="K33" i="32" s="1"/>
  <c r="U83" i="1"/>
  <c r="T83" i="1"/>
  <c r="S83" i="1"/>
  <c r="R83" i="1"/>
  <c r="V83" i="1" s="1"/>
  <c r="U67" i="1"/>
  <c r="T67" i="1"/>
  <c r="S67" i="1"/>
  <c r="R67" i="1"/>
  <c r="V67" i="1" s="1"/>
  <c r="C94" i="32"/>
  <c r="C93" i="32"/>
  <c r="C92" i="32"/>
  <c r="C91" i="32"/>
  <c r="C89" i="32"/>
  <c r="C88" i="32"/>
  <c r="C87" i="32"/>
  <c r="C86" i="32"/>
  <c r="C84" i="32"/>
  <c r="C83" i="32"/>
  <c r="C82" i="32"/>
  <c r="C81" i="32"/>
  <c r="C79" i="32"/>
  <c r="C78" i="32"/>
  <c r="C77" i="32"/>
  <c r="C76" i="32"/>
  <c r="D94" i="32"/>
  <c r="D93" i="32"/>
  <c r="D92" i="32"/>
  <c r="D91" i="32"/>
  <c r="D89" i="32"/>
  <c r="D88" i="32"/>
  <c r="D87" i="32"/>
  <c r="D86" i="32"/>
  <c r="D84" i="32"/>
  <c r="D83" i="32"/>
  <c r="D82" i="32"/>
  <c r="D81" i="32"/>
  <c r="D79" i="32"/>
  <c r="D78" i="32"/>
  <c r="D77" i="32"/>
  <c r="D76" i="32"/>
  <c r="E94" i="32"/>
  <c r="E93" i="32"/>
  <c r="E92" i="32"/>
  <c r="E91" i="32"/>
  <c r="E89" i="32"/>
  <c r="E88" i="32"/>
  <c r="E87" i="32"/>
  <c r="E86" i="32"/>
  <c r="E84" i="32"/>
  <c r="E83" i="32"/>
  <c r="E82" i="32"/>
  <c r="E81" i="32"/>
  <c r="E79" i="32"/>
  <c r="E78" i="32"/>
  <c r="E77" i="32"/>
  <c r="E76" i="32"/>
  <c r="F94" i="32"/>
  <c r="F93" i="32"/>
  <c r="F92" i="32"/>
  <c r="F91" i="32"/>
  <c r="F89" i="32"/>
  <c r="F88" i="32"/>
  <c r="F87" i="32"/>
  <c r="F86" i="32"/>
  <c r="F84" i="32"/>
  <c r="F83" i="32"/>
  <c r="F82" i="32"/>
  <c r="F81" i="32"/>
  <c r="F79" i="32"/>
  <c r="F78" i="32"/>
  <c r="F77" i="32"/>
  <c r="F76" i="32"/>
  <c r="M28" i="33"/>
  <c r="S23" i="32"/>
  <c r="R23" i="32"/>
  <c r="S22" i="32"/>
  <c r="R22" i="32"/>
  <c r="S21" i="32"/>
  <c r="R21" i="32"/>
  <c r="S20" i="32"/>
  <c r="R20" i="32"/>
  <c r="R9" i="32"/>
  <c r="R10" i="32"/>
  <c r="R11" i="32"/>
  <c r="R8" i="32"/>
  <c r="S11" i="32"/>
  <c r="S10" i="32"/>
  <c r="S9" i="32"/>
  <c r="S8" i="32"/>
  <c r="AF8" i="33"/>
  <c r="AD34" i="1"/>
  <c r="AE34" i="1" s="1"/>
  <c r="AF34" i="1" s="1"/>
  <c r="AG34" i="1" s="1"/>
  <c r="AD28" i="1"/>
  <c r="AE28" i="1" s="1"/>
  <c r="AF28" i="1" s="1"/>
  <c r="AG28" i="1" s="1"/>
  <c r="AD25" i="1"/>
  <c r="AE25" i="1" s="1"/>
  <c r="AF25" i="1" s="1"/>
  <c r="AG25" i="1" s="1"/>
  <c r="D52" i="3"/>
  <c r="D49" i="3"/>
  <c r="D46" i="3"/>
  <c r="AD17" i="1"/>
  <c r="H36" i="33"/>
  <c r="I36" i="33"/>
  <c r="J36" i="33"/>
  <c r="K36" i="33"/>
  <c r="K37" i="33" s="1"/>
  <c r="G36" i="33"/>
  <c r="J32" i="33"/>
  <c r="K32" i="33"/>
  <c r="I32" i="33"/>
  <c r="I29" i="33"/>
  <c r="E29" i="33"/>
  <c r="F29" i="33"/>
  <c r="G29" i="33"/>
  <c r="H29" i="33"/>
  <c r="J29" i="33"/>
  <c r="K29" i="33"/>
  <c r="D29" i="33"/>
  <c r="H5" i="33"/>
  <c r="I5" i="33" s="1"/>
  <c r="J5" i="33" s="1"/>
  <c r="K5" i="33" s="1"/>
  <c r="L5" i="33" s="1"/>
  <c r="M5" i="33" s="1"/>
  <c r="N5" i="33" s="1"/>
  <c r="O5" i="33" s="1"/>
  <c r="P5" i="33" s="1"/>
  <c r="Q5" i="33" s="1"/>
  <c r="R5" i="33" s="1"/>
  <c r="S5" i="33" s="1"/>
  <c r="T5" i="33" s="1"/>
  <c r="U5" i="33" s="1"/>
  <c r="V5" i="33" s="1"/>
  <c r="W5" i="33" s="1"/>
  <c r="X5" i="33" s="1"/>
  <c r="Y5" i="33" s="1"/>
  <c r="Z5" i="33" s="1"/>
  <c r="AA5" i="33" s="1"/>
  <c r="AB5" i="33" s="1"/>
  <c r="AC5" i="33" s="1"/>
  <c r="AD5" i="33" s="1"/>
  <c r="AE5" i="33" s="1"/>
  <c r="AF5" i="33" s="1"/>
  <c r="AG5" i="33" s="1"/>
  <c r="AH5" i="33" s="1"/>
  <c r="AI5" i="33" s="1"/>
  <c r="AJ5" i="33" s="1"/>
  <c r="E7" i="33"/>
  <c r="F7" i="33"/>
  <c r="G7" i="33"/>
  <c r="H7" i="33"/>
  <c r="I7" i="33"/>
  <c r="J7" i="33"/>
  <c r="K7" i="33"/>
  <c r="L7" i="33"/>
  <c r="M7" i="33"/>
  <c r="N7" i="33"/>
  <c r="O7" i="33"/>
  <c r="P7" i="33"/>
  <c r="Q7" i="33"/>
  <c r="R7" i="33"/>
  <c r="S7" i="33"/>
  <c r="T7" i="33"/>
  <c r="U7" i="33"/>
  <c r="V7" i="33"/>
  <c r="W7" i="33"/>
  <c r="X7" i="33"/>
  <c r="Y7" i="33"/>
  <c r="Z7" i="33"/>
  <c r="AA7" i="33"/>
  <c r="AB7" i="33"/>
  <c r="AC7" i="33"/>
  <c r="AD7" i="33"/>
  <c r="AE7" i="33"/>
  <c r="AF7" i="33"/>
  <c r="AG7" i="33"/>
  <c r="AH7" i="33"/>
  <c r="AI7" i="33"/>
  <c r="AJ7" i="33"/>
  <c r="D7" i="33"/>
  <c r="U33" i="32"/>
  <c r="T33" i="32"/>
  <c r="R33" i="32"/>
  <c r="Q33" i="32"/>
  <c r="P33" i="32"/>
  <c r="O33" i="32"/>
  <c r="N33" i="32"/>
  <c r="M33" i="32"/>
  <c r="E33" i="32"/>
  <c r="F33" i="32"/>
  <c r="G33" i="32"/>
  <c r="H33" i="32"/>
  <c r="I33" i="32"/>
  <c r="J33" i="32"/>
  <c r="D33" i="32"/>
  <c r="H327" i="1"/>
  <c r="I327" i="1"/>
  <c r="J327" i="1"/>
  <c r="K327" i="1"/>
  <c r="L327" i="1"/>
  <c r="M327" i="1"/>
  <c r="N327" i="1"/>
  <c r="O327" i="1"/>
  <c r="P327" i="1"/>
  <c r="Q327" i="1"/>
  <c r="G327" i="1"/>
  <c r="E49" i="32"/>
  <c r="F49" i="32"/>
  <c r="D49" i="32"/>
  <c r="E44" i="32"/>
  <c r="F44" i="32"/>
  <c r="E45" i="32"/>
  <c r="F45" i="32"/>
  <c r="E46" i="32"/>
  <c r="F46" i="32"/>
  <c r="E47" i="32"/>
  <c r="F47" i="32"/>
  <c r="D47" i="32"/>
  <c r="D46" i="32"/>
  <c r="D45" i="32"/>
  <c r="D44" i="32"/>
  <c r="U25" i="32"/>
  <c r="T25" i="32"/>
  <c r="Q25" i="32"/>
  <c r="P25" i="32"/>
  <c r="E25" i="32"/>
  <c r="F25" i="32"/>
  <c r="G25" i="32"/>
  <c r="H25" i="32"/>
  <c r="I25" i="32"/>
  <c r="J25" i="32"/>
  <c r="K25" i="32"/>
  <c r="D25" i="32"/>
  <c r="U29" i="32"/>
  <c r="V29" i="32"/>
  <c r="U30" i="32"/>
  <c r="V30" i="32"/>
  <c r="U31" i="32"/>
  <c r="V31" i="32"/>
  <c r="U32" i="32"/>
  <c r="V32" i="32"/>
  <c r="T32" i="32"/>
  <c r="Q32" i="32"/>
  <c r="P32" i="32"/>
  <c r="O32" i="32"/>
  <c r="N32" i="32"/>
  <c r="M32" i="32"/>
  <c r="T31" i="32"/>
  <c r="Q31" i="32"/>
  <c r="P31" i="32"/>
  <c r="O31" i="32"/>
  <c r="N31" i="32"/>
  <c r="M31" i="32"/>
  <c r="T30" i="32"/>
  <c r="Q30" i="32"/>
  <c r="P30" i="32"/>
  <c r="O30" i="32"/>
  <c r="N30" i="32"/>
  <c r="M30" i="32"/>
  <c r="T29" i="32"/>
  <c r="Q29" i="32"/>
  <c r="P29" i="32"/>
  <c r="O29" i="32"/>
  <c r="N29" i="32"/>
  <c r="M29" i="32"/>
  <c r="K32" i="32"/>
  <c r="J32" i="32"/>
  <c r="I32" i="32"/>
  <c r="H32" i="32"/>
  <c r="G32" i="32"/>
  <c r="F32" i="32"/>
  <c r="E32" i="32"/>
  <c r="D32" i="32"/>
  <c r="K31" i="32"/>
  <c r="J31" i="32"/>
  <c r="I31" i="32"/>
  <c r="H31" i="32"/>
  <c r="G31" i="32"/>
  <c r="F31" i="32"/>
  <c r="E31" i="32"/>
  <c r="D31" i="32"/>
  <c r="K30" i="32"/>
  <c r="J30" i="32"/>
  <c r="I30" i="32"/>
  <c r="H30" i="32"/>
  <c r="G30" i="32"/>
  <c r="F30" i="32"/>
  <c r="E30" i="32"/>
  <c r="D30" i="32"/>
  <c r="K29" i="32"/>
  <c r="J29" i="32"/>
  <c r="I29" i="32"/>
  <c r="H29" i="32"/>
  <c r="G29" i="32"/>
  <c r="F29" i="32"/>
  <c r="E29" i="32"/>
  <c r="D29" i="32"/>
  <c r="Q11" i="31"/>
  <c r="Q10" i="31"/>
  <c r="Q4" i="31"/>
  <c r="Q3" i="31"/>
  <c r="R6" i="31"/>
  <c r="R14" i="31"/>
  <c r="R15" i="31"/>
  <c r="R12" i="31"/>
  <c r="R11" i="31"/>
  <c r="R10" i="31"/>
  <c r="R7" i="31"/>
  <c r="R4" i="31"/>
  <c r="R5" i="31"/>
  <c r="R3" i="31"/>
  <c r="P29" i="31"/>
  <c r="P28" i="31"/>
  <c r="K28" i="31"/>
  <c r="F28" i="31"/>
  <c r="D25" i="31"/>
  <c r="E25" i="31"/>
  <c r="E26" i="31" s="1"/>
  <c r="F25" i="31"/>
  <c r="G25" i="31"/>
  <c r="H25" i="31"/>
  <c r="I25" i="31"/>
  <c r="J25" i="31"/>
  <c r="K25" i="31"/>
  <c r="L25" i="31"/>
  <c r="M25" i="31"/>
  <c r="N25" i="31"/>
  <c r="C25" i="31"/>
  <c r="K6" i="31"/>
  <c r="AF12" i="31"/>
  <c r="AG11" i="31" s="1"/>
  <c r="AF4" i="31"/>
  <c r="AG3" i="31" s="1"/>
  <c r="P15" i="31"/>
  <c r="K14" i="31"/>
  <c r="P6" i="31"/>
  <c r="F6" i="31"/>
  <c r="P14" i="31"/>
  <c r="F14" i="31"/>
  <c r="D18" i="31"/>
  <c r="E18" i="31"/>
  <c r="F18" i="31"/>
  <c r="G18" i="31"/>
  <c r="H18" i="31"/>
  <c r="I18" i="31"/>
  <c r="J18" i="31"/>
  <c r="K18" i="31"/>
  <c r="L18" i="31"/>
  <c r="M18" i="31"/>
  <c r="C18" i="31"/>
  <c r="N11" i="31"/>
  <c r="M11" i="31"/>
  <c r="AD9" i="31" s="1"/>
  <c r="L11" i="31"/>
  <c r="AC9" i="31" s="1"/>
  <c r="K11" i="31"/>
  <c r="J11" i="31"/>
  <c r="I11" i="31"/>
  <c r="H11" i="31"/>
  <c r="G11" i="31"/>
  <c r="F11" i="31"/>
  <c r="E11" i="31"/>
  <c r="D11" i="31"/>
  <c r="C11" i="31"/>
  <c r="D4" i="31"/>
  <c r="E4" i="31"/>
  <c r="F4" i="31"/>
  <c r="G4" i="31"/>
  <c r="H4" i="31"/>
  <c r="I4" i="31"/>
  <c r="J4" i="31"/>
  <c r="K4" i="31"/>
  <c r="L4" i="31"/>
  <c r="M4" i="31"/>
  <c r="N4" i="31"/>
  <c r="O4" i="31"/>
  <c r="C4" i="31"/>
  <c r="D1" i="31"/>
  <c r="E1" i="31" s="1"/>
  <c r="F1" i="31" s="1"/>
  <c r="G1" i="31" s="1"/>
  <c r="H1" i="31" s="1"/>
  <c r="I1" i="31" s="1"/>
  <c r="J1" i="31" s="1"/>
  <c r="K1" i="31" s="1"/>
  <c r="L1" i="31" s="1"/>
  <c r="M1" i="31" s="1"/>
  <c r="N1" i="31" s="1"/>
  <c r="O1" i="31" s="1"/>
  <c r="P1" i="31" s="1"/>
  <c r="AC7" i="31" s="1"/>
  <c r="U28" i="30"/>
  <c r="U29" i="30" s="1"/>
  <c r="P24" i="30"/>
  <c r="P23" i="30"/>
  <c r="R23" i="30"/>
  <c r="R24" i="30" s="1"/>
  <c r="U23" i="30"/>
  <c r="U24" i="30" s="1"/>
  <c r="G19" i="30"/>
  <c r="J3" i="30"/>
  <c r="I3" i="30"/>
  <c r="M18" i="30"/>
  <c r="M19" i="30" s="1"/>
  <c r="U18" i="30"/>
  <c r="U19" i="30" s="1"/>
  <c r="P18" i="30"/>
  <c r="P19" i="30" s="1"/>
  <c r="U13" i="30"/>
  <c r="U14" i="30" s="1"/>
  <c r="P13" i="30"/>
  <c r="P14" i="30" s="1"/>
  <c r="L7" i="30"/>
  <c r="L8" i="30" s="1"/>
  <c r="N7" i="30"/>
  <c r="N8" i="30"/>
  <c r="M7" i="30"/>
  <c r="M8" i="30" s="1"/>
  <c r="S3" i="30"/>
  <c r="T3" i="30" s="1"/>
  <c r="U3" i="30" s="1"/>
  <c r="AB189" i="1"/>
  <c r="AA189" i="1"/>
  <c r="Z189" i="1"/>
  <c r="Y189" i="1"/>
  <c r="X189" i="1"/>
  <c r="Y185" i="1"/>
  <c r="X185" i="1"/>
  <c r="A2" i="1"/>
  <c r="AY363" i="1" l="1"/>
  <c r="AY364" i="1"/>
  <c r="U107" i="1"/>
  <c r="AF109" i="1"/>
  <c r="C96" i="32"/>
  <c r="E96" i="32"/>
  <c r="D96" i="32"/>
  <c r="F96" i="32"/>
  <c r="F126" i="32" s="1"/>
  <c r="S32" i="32"/>
  <c r="R31" i="32"/>
  <c r="R32" i="32"/>
  <c r="R25" i="32"/>
  <c r="S29" i="32"/>
  <c r="S25" i="32"/>
  <c r="S31" i="32"/>
  <c r="R29" i="32"/>
  <c r="S12" i="32"/>
  <c r="S33" i="32" s="1"/>
  <c r="R30" i="32"/>
  <c r="S30" i="32"/>
  <c r="J37" i="33"/>
  <c r="I37" i="33"/>
  <c r="H37" i="33"/>
  <c r="AC6" i="31"/>
  <c r="AC11" i="31"/>
  <c r="AD2" i="31"/>
  <c r="K5" i="31"/>
  <c r="AB9" i="31"/>
  <c r="AD14" i="31"/>
  <c r="AB6" i="31"/>
  <c r="AB23" i="31"/>
  <c r="AC24" i="31"/>
  <c r="AB10" i="31"/>
  <c r="AB2" i="31"/>
  <c r="AB28" i="31"/>
  <c r="AD23" i="31"/>
  <c r="AD3" i="31"/>
  <c r="AD28" i="31"/>
  <c r="AD6" i="31"/>
  <c r="AD29" i="31"/>
  <c r="AB14" i="31"/>
  <c r="AB4" i="31"/>
  <c r="AC25" i="31"/>
  <c r="AB25" i="31"/>
  <c r="AD15" i="31"/>
  <c r="AC28" i="31"/>
  <c r="AC2" i="31"/>
  <c r="AC4" i="31"/>
  <c r="AC10" i="31"/>
  <c r="AB7" i="31"/>
  <c r="AA25" i="31"/>
  <c r="AB11" i="31"/>
  <c r="AA11" i="31"/>
  <c r="AG2" i="31"/>
  <c r="AC29" i="31"/>
  <c r="AB15" i="31"/>
  <c r="AA24" i="31"/>
  <c r="AD7" i="31"/>
  <c r="AB29" i="31"/>
  <c r="AA4" i="31"/>
  <c r="AB3" i="31"/>
  <c r="AB24" i="31"/>
  <c r="D26" i="31"/>
  <c r="L26" i="31"/>
  <c r="M26" i="31"/>
  <c r="K26" i="31"/>
  <c r="H26" i="31"/>
  <c r="I26" i="31"/>
  <c r="F26" i="31"/>
  <c r="N26" i="31"/>
  <c r="J26" i="31"/>
  <c r="G26" i="31"/>
  <c r="AA3" i="31"/>
  <c r="H5" i="31"/>
  <c r="AA10" i="31"/>
  <c r="AG10" i="31"/>
  <c r="AC3" i="31"/>
  <c r="E12" i="31"/>
  <c r="O5" i="31"/>
  <c r="G5" i="31"/>
  <c r="AC14" i="31"/>
  <c r="N5" i="31"/>
  <c r="F5" i="31"/>
  <c r="J5" i="31"/>
  <c r="AC15" i="31"/>
  <c r="K12" i="31"/>
  <c r="AC18" i="31"/>
  <c r="I5" i="31"/>
  <c r="D12" i="31"/>
  <c r="L12" i="31"/>
  <c r="H12" i="31"/>
  <c r="M5" i="31"/>
  <c r="G12" i="31"/>
  <c r="D5" i="31"/>
  <c r="E5" i="31"/>
  <c r="L5" i="31"/>
  <c r="M12" i="31"/>
  <c r="F12" i="31"/>
  <c r="I12" i="31"/>
  <c r="AC17" i="31"/>
  <c r="N12" i="31"/>
  <c r="J12" i="31"/>
  <c r="AB202" i="1"/>
  <c r="E12" i="12"/>
  <c r="E11" i="12"/>
  <c r="E10" i="12"/>
  <c r="E9" i="12"/>
  <c r="E8" i="12"/>
  <c r="E7" i="12"/>
  <c r="E5" i="12"/>
  <c r="E10" i="24"/>
  <c r="E10" i="21"/>
  <c r="D8" i="21"/>
  <c r="E8" i="21" s="1"/>
  <c r="B11" i="20"/>
  <c r="E11" i="20" s="1"/>
  <c r="B11" i="18"/>
  <c r="D8" i="18"/>
  <c r="E8" i="18" s="1"/>
  <c r="D8" i="17"/>
  <c r="E8" i="17" s="1"/>
  <c r="V107" i="1" l="1"/>
  <c r="E134" i="32"/>
  <c r="E129" i="32"/>
  <c r="E126" i="32"/>
  <c r="E135" i="32"/>
  <c r="E139" i="32"/>
  <c r="E137" i="32"/>
  <c r="E136" i="32"/>
  <c r="E127" i="32"/>
  <c r="E124" i="32"/>
  <c r="E130" i="32"/>
  <c r="E125" i="32"/>
  <c r="E132" i="32"/>
  <c r="E140" i="32"/>
  <c r="E142" i="32"/>
  <c r="E141" i="32"/>
  <c r="E131" i="32"/>
  <c r="F139" i="32"/>
  <c r="F140" i="32"/>
  <c r="F136" i="32"/>
  <c r="F130" i="32"/>
  <c r="F142" i="32"/>
  <c r="F132" i="32"/>
  <c r="F125" i="32"/>
  <c r="F137" i="32"/>
  <c r="F135" i="32"/>
  <c r="F127" i="32"/>
  <c r="F141" i="32"/>
  <c r="F129" i="32"/>
  <c r="F124" i="32"/>
  <c r="F131" i="32"/>
  <c r="F134" i="32"/>
  <c r="D8" i="16"/>
  <c r="E8" i="16" s="1"/>
  <c r="E10" i="16" s="1"/>
  <c r="E12" i="16" s="1"/>
  <c r="E14" i="16" s="1"/>
  <c r="E17" i="16" s="1"/>
  <c r="E11" i="14"/>
  <c r="D10" i="14"/>
  <c r="E10" i="14" s="1"/>
  <c r="D9" i="14"/>
  <c r="E9" i="14" s="1"/>
  <c r="E8" i="14"/>
  <c r="D8" i="14"/>
  <c r="D26" i="29"/>
  <c r="E26" i="29"/>
  <c r="E9" i="29"/>
  <c r="E8" i="29"/>
  <c r="E10" i="29" s="1"/>
  <c r="C20" i="29"/>
  <c r="C27" i="29"/>
  <c r="C32" i="29" s="1"/>
  <c r="U31" i="13"/>
  <c r="D19" i="28"/>
  <c r="C19" i="28"/>
  <c r="D3" i="28"/>
  <c r="E3" i="28" s="1"/>
  <c r="F3" i="28" s="1"/>
  <c r="G3" i="28" s="1"/>
  <c r="H3" i="28" s="1"/>
  <c r="I3" i="28" s="1"/>
  <c r="J3" i="28" s="1"/>
  <c r="Z16" i="12"/>
  <c r="AD7" i="12"/>
  <c r="S11" i="12"/>
  <c r="S10" i="12"/>
  <c r="S9" i="12"/>
  <c r="S7" i="12"/>
  <c r="S6" i="12"/>
  <c r="S3" i="12"/>
  <c r="U6" i="12"/>
  <c r="U7" i="12"/>
  <c r="U8" i="12"/>
  <c r="U9" i="12"/>
  <c r="U10" i="12"/>
  <c r="U11" i="12"/>
  <c r="U12" i="12"/>
  <c r="U5" i="12"/>
  <c r="B10" i="16"/>
  <c r="Q13" i="27"/>
  <c r="P9" i="27"/>
  <c r="P10" i="27"/>
  <c r="P11" i="27"/>
  <c r="P12" i="27"/>
  <c r="P13" i="27"/>
  <c r="P8" i="27"/>
  <c r="P7" i="27"/>
  <c r="O13" i="27"/>
  <c r="O11" i="27"/>
  <c r="AE161" i="1"/>
  <c r="AF161" i="1" s="1"/>
  <c r="AG161" i="1" s="1"/>
  <c r="F17" i="13"/>
  <c r="G17" i="13"/>
  <c r="H17" i="13"/>
  <c r="I17" i="13"/>
  <c r="J17" i="13"/>
  <c r="K17" i="13"/>
  <c r="L17" i="13"/>
  <c r="M17" i="13"/>
  <c r="E17" i="13"/>
  <c r="N17" i="4"/>
  <c r="H7" i="10"/>
  <c r="D20" i="29" l="1"/>
  <c r="E20" i="29" s="1"/>
  <c r="C33" i="29"/>
  <c r="F41" i="5" l="1"/>
  <c r="F40" i="5"/>
  <c r="H28" i="5"/>
  <c r="H27" i="5"/>
  <c r="H25" i="5"/>
  <c r="M14" i="5"/>
  <c r="H13" i="5"/>
  <c r="H15" i="5"/>
  <c r="H14" i="5"/>
  <c r="B10" i="24"/>
  <c r="D8" i="24"/>
  <c r="E8" i="24" s="1"/>
  <c r="E15" i="23"/>
  <c r="B10" i="23"/>
  <c r="D8" i="23"/>
  <c r="E8" i="23" s="1"/>
  <c r="E10" i="23" s="1"/>
  <c r="E12" i="23" s="1"/>
  <c r="E14" i="23" s="1"/>
  <c r="E17" i="23" s="1"/>
  <c r="C3" i="23"/>
  <c r="E15" i="21"/>
  <c r="B10" i="21"/>
  <c r="E17" i="20"/>
  <c r="E16" i="20"/>
  <c r="H26" i="5" s="1"/>
  <c r="D8" i="20"/>
  <c r="E8" i="20" s="1"/>
  <c r="E15" i="19"/>
  <c r="B10" i="19"/>
  <c r="D8" i="19"/>
  <c r="E8" i="19" s="1"/>
  <c r="E10" i="19" s="1"/>
  <c r="E12" i="19" s="1"/>
  <c r="E16" i="18"/>
  <c r="C3" i="18"/>
  <c r="E16" i="17"/>
  <c r="E15" i="17"/>
  <c r="B10" i="17"/>
  <c r="E10" i="17" s="1"/>
  <c r="E12" i="17" s="1"/>
  <c r="E14" i="17" s="1"/>
  <c r="E17" i="17" s="1"/>
  <c r="G6" i="12"/>
  <c r="E17" i="14"/>
  <c r="E16" i="14"/>
  <c r="B11" i="14"/>
  <c r="E13" i="14" s="1"/>
  <c r="E15" i="14" s="1"/>
  <c r="E18" i="14" s="1"/>
  <c r="B35" i="13"/>
  <c r="G30" i="13"/>
  <c r="J19" i="13"/>
  <c r="J31" i="13" s="1"/>
  <c r="M15" i="13"/>
  <c r="L15" i="13"/>
  <c r="K15" i="13"/>
  <c r="J15" i="13"/>
  <c r="I15" i="13"/>
  <c r="H15" i="13"/>
  <c r="F15" i="13"/>
  <c r="E15" i="13"/>
  <c r="C15" i="13"/>
  <c r="M14" i="13"/>
  <c r="M20" i="13" s="1"/>
  <c r="L14" i="13"/>
  <c r="K14" i="13"/>
  <c r="J14" i="13"/>
  <c r="I14" i="13"/>
  <c r="I20" i="13" s="1"/>
  <c r="H14" i="13"/>
  <c r="H20" i="13" s="1"/>
  <c r="F14" i="13"/>
  <c r="E14" i="13"/>
  <c r="C14" i="13"/>
  <c r="M13" i="13"/>
  <c r="L13" i="13"/>
  <c r="L20" i="13" s="1"/>
  <c r="K13" i="13"/>
  <c r="K20" i="13" s="1"/>
  <c r="J13" i="13"/>
  <c r="J20" i="13" s="1"/>
  <c r="I13" i="13"/>
  <c r="H13" i="13"/>
  <c r="F13" i="13"/>
  <c r="E13" i="13"/>
  <c r="C13" i="13"/>
  <c r="C20" i="13" s="1"/>
  <c r="B13" i="13"/>
  <c r="B14" i="13" s="1"/>
  <c r="B15" i="13" s="1"/>
  <c r="M12" i="13"/>
  <c r="M19" i="13" s="1"/>
  <c r="L12" i="13"/>
  <c r="L19" i="13" s="1"/>
  <c r="K12" i="13"/>
  <c r="K19" i="13" s="1"/>
  <c r="K31" i="13" s="1"/>
  <c r="J12" i="13"/>
  <c r="I12" i="13"/>
  <c r="I19" i="13" s="1"/>
  <c r="H12" i="13"/>
  <c r="H19" i="13" s="1"/>
  <c r="G12" i="13"/>
  <c r="G19" i="13" s="1"/>
  <c r="F12" i="13"/>
  <c r="F19" i="13" s="1"/>
  <c r="E12" i="13"/>
  <c r="E19" i="13" s="1"/>
  <c r="C12" i="13"/>
  <c r="C19" i="13" s="1"/>
  <c r="G9" i="13"/>
  <c r="G15" i="13" s="1"/>
  <c r="G8" i="13"/>
  <c r="G14" i="13" s="1"/>
  <c r="G7" i="13"/>
  <c r="G13" i="13" s="1"/>
  <c r="B7" i="13"/>
  <c r="B8" i="13" s="1"/>
  <c r="B9" i="13" s="1"/>
  <c r="C2" i="13"/>
  <c r="AD12" i="12"/>
  <c r="AC12" i="12"/>
  <c r="G12" i="12"/>
  <c r="D12" i="12"/>
  <c r="F12" i="12" s="1"/>
  <c r="AD11" i="12"/>
  <c r="AC11" i="12"/>
  <c r="G11" i="12"/>
  <c r="T11" i="12" s="1"/>
  <c r="D11" i="12"/>
  <c r="F11" i="12" s="1"/>
  <c r="H11" i="12" s="1"/>
  <c r="AD10" i="12"/>
  <c r="AC10" i="12"/>
  <c r="W10" i="12"/>
  <c r="G10" i="12"/>
  <c r="T10" i="12" s="1"/>
  <c r="F10" i="12"/>
  <c r="H10" i="12" s="1"/>
  <c r="D10" i="12"/>
  <c r="AD9" i="12"/>
  <c r="AC9" i="12"/>
  <c r="G9" i="12"/>
  <c r="T9" i="12" s="1"/>
  <c r="F9" i="12"/>
  <c r="D9" i="12"/>
  <c r="AD8" i="12"/>
  <c r="AC8" i="12"/>
  <c r="G8" i="12"/>
  <c r="D8" i="12"/>
  <c r="F8" i="12" s="1"/>
  <c r="G26" i="5" s="1"/>
  <c r="AC7" i="12"/>
  <c r="G7" i="12"/>
  <c r="T7" i="12" s="1"/>
  <c r="D7" i="12"/>
  <c r="F7" i="12" s="1"/>
  <c r="AD6" i="12"/>
  <c r="AC6" i="12"/>
  <c r="D6" i="12"/>
  <c r="AD5" i="12"/>
  <c r="AC5" i="12"/>
  <c r="I5" i="12"/>
  <c r="G5" i="12"/>
  <c r="D5" i="12"/>
  <c r="AD3" i="12"/>
  <c r="AC3" i="12"/>
  <c r="G3" i="12"/>
  <c r="T3" i="12" s="1"/>
  <c r="Z17" i="12" s="1"/>
  <c r="L1" i="12"/>
  <c r="M1" i="12" s="1"/>
  <c r="N1" i="12" s="1"/>
  <c r="T8" i="12" l="1"/>
  <c r="S8" i="12"/>
  <c r="E13" i="20"/>
  <c r="E15" i="20" s="1"/>
  <c r="E18" i="20" s="1"/>
  <c r="E11" i="18"/>
  <c r="E13" i="18" s="1"/>
  <c r="E15" i="18" s="1"/>
  <c r="E18" i="18" s="1"/>
  <c r="T5" i="12"/>
  <c r="S5" i="12"/>
  <c r="T12" i="12"/>
  <c r="S12" i="12"/>
  <c r="F20" i="13"/>
  <c r="E20" i="13"/>
  <c r="H12" i="12"/>
  <c r="V12" i="12" s="1"/>
  <c r="G13" i="5"/>
  <c r="I13" i="5" s="1"/>
  <c r="K13" i="5" s="1"/>
  <c r="W11" i="12"/>
  <c r="G27" i="5"/>
  <c r="F5" i="12"/>
  <c r="H9" i="12"/>
  <c r="V9" i="12" s="1"/>
  <c r="W9" i="12"/>
  <c r="G28" i="5"/>
  <c r="H7" i="12"/>
  <c r="J23" i="13" s="1"/>
  <c r="G14" i="5"/>
  <c r="E6" i="12"/>
  <c r="F6" i="12" s="1"/>
  <c r="T6" i="12"/>
  <c r="W6" i="12"/>
  <c r="L31" i="13"/>
  <c r="J24" i="13"/>
  <c r="I24" i="13"/>
  <c r="K24" i="13"/>
  <c r="E14" i="19"/>
  <c r="E17" i="19" s="1"/>
  <c r="E3" i="12"/>
  <c r="H24" i="13"/>
  <c r="F31" i="13"/>
  <c r="L24" i="13"/>
  <c r="E12" i="21"/>
  <c r="E14" i="21" s="1"/>
  <c r="E17" i="21" s="1"/>
  <c r="Y10" i="12"/>
  <c r="M23" i="13"/>
  <c r="V10" i="12"/>
  <c r="Z10" i="12"/>
  <c r="G37" i="13"/>
  <c r="G31" i="13"/>
  <c r="G32" i="13" s="1"/>
  <c r="G33" i="13" s="1"/>
  <c r="C24" i="13"/>
  <c r="C31" i="13"/>
  <c r="H31" i="13"/>
  <c r="M24" i="13"/>
  <c r="Z11" i="12"/>
  <c r="Y11" i="12"/>
  <c r="V11" i="12"/>
  <c r="H23" i="13"/>
  <c r="G20" i="13"/>
  <c r="I31" i="13"/>
  <c r="F24" i="13"/>
  <c r="E24" i="13"/>
  <c r="E12" i="24"/>
  <c r="E14" i="24" s="1"/>
  <c r="E17" i="24" s="1"/>
  <c r="H8" i="12"/>
  <c r="W8" i="12"/>
  <c r="Z21" i="12"/>
  <c r="E31" i="13"/>
  <c r="M31" i="13"/>
  <c r="W5" i="12"/>
  <c r="W3" i="12"/>
  <c r="Z18" i="12" s="1"/>
  <c r="W7" i="12"/>
  <c r="W12" i="12"/>
  <c r="I23" i="13" l="1"/>
  <c r="Z12" i="12"/>
  <c r="Z7" i="12"/>
  <c r="Y7" i="12"/>
  <c r="V7" i="12"/>
  <c r="Y12" i="12"/>
  <c r="J13" i="5"/>
  <c r="H6" i="12"/>
  <c r="F23" i="13" s="1"/>
  <c r="G25" i="5"/>
  <c r="H5" i="12"/>
  <c r="G15" i="5"/>
  <c r="Y9" i="12"/>
  <c r="Z9" i="12"/>
  <c r="L23" i="13"/>
  <c r="Z22" i="12"/>
  <c r="Z19" i="12"/>
  <c r="J25" i="13"/>
  <c r="J26" i="13" s="1"/>
  <c r="J28" i="13" s="1"/>
  <c r="X31" i="13" s="1"/>
  <c r="J30" i="13"/>
  <c r="Z8" i="12"/>
  <c r="Y8" i="12"/>
  <c r="K23" i="13"/>
  <c r="V8" i="12"/>
  <c r="G38" i="13"/>
  <c r="G24" i="13"/>
  <c r="G25" i="13" s="1"/>
  <c r="G26" i="13" s="1"/>
  <c r="G28" i="13" s="1"/>
  <c r="M30" i="13"/>
  <c r="M25" i="13"/>
  <c r="M26" i="13" s="1"/>
  <c r="M28" i="13" s="1"/>
  <c r="AA31" i="13" s="1"/>
  <c r="G35" i="13"/>
  <c r="G36" i="13" s="1"/>
  <c r="I25" i="13"/>
  <c r="I26" i="13" s="1"/>
  <c r="I28" i="13" s="1"/>
  <c r="W31" i="13" s="1"/>
  <c r="I30" i="13"/>
  <c r="H25" i="13"/>
  <c r="H26" i="13" s="1"/>
  <c r="H28" i="13" s="1"/>
  <c r="V31" i="13" s="1"/>
  <c r="H30" i="13"/>
  <c r="Z23" i="12"/>
  <c r="F3" i="12"/>
  <c r="H3" i="12" s="1"/>
  <c r="L30" i="13"/>
  <c r="L25" i="13"/>
  <c r="L26" i="13" s="1"/>
  <c r="L28" i="13" s="1"/>
  <c r="Z31" i="13" s="1"/>
  <c r="Z6" i="12" l="1"/>
  <c r="V6" i="12"/>
  <c r="Y6" i="12"/>
  <c r="V5" i="12"/>
  <c r="E23" i="13"/>
  <c r="Y5" i="12"/>
  <c r="Z5" i="12"/>
  <c r="J32" i="13"/>
  <c r="J33" i="13" s="1"/>
  <c r="J35" i="13" s="1"/>
  <c r="J36" i="13" s="1"/>
  <c r="J37" i="13"/>
  <c r="J38" i="13"/>
  <c r="H32" i="13"/>
  <c r="H33" i="13" s="1"/>
  <c r="H35" i="13" s="1"/>
  <c r="H36" i="13" s="1"/>
  <c r="H38" i="13"/>
  <c r="H37" i="13"/>
  <c r="Z24" i="12"/>
  <c r="Z25" i="12" s="1"/>
  <c r="V3" i="12"/>
  <c r="Y3" i="12"/>
  <c r="C23" i="13"/>
  <c r="Z3" i="12"/>
  <c r="M32" i="13"/>
  <c r="M33" i="13" s="1"/>
  <c r="M35" i="13" s="1"/>
  <c r="M36" i="13" s="1"/>
  <c r="M38" i="13"/>
  <c r="M37" i="13"/>
  <c r="I32" i="13"/>
  <c r="I33" i="13" s="1"/>
  <c r="I35" i="13" s="1"/>
  <c r="I36" i="13" s="1"/>
  <c r="I37" i="13"/>
  <c r="I38" i="13"/>
  <c r="K25" i="13"/>
  <c r="K26" i="13" s="1"/>
  <c r="K28" i="13" s="1"/>
  <c r="Y31" i="13" s="1"/>
  <c r="K30" i="13"/>
  <c r="L32" i="13"/>
  <c r="L33" i="13" s="1"/>
  <c r="L35" i="13" s="1"/>
  <c r="L36" i="13" s="1"/>
  <c r="L37" i="13"/>
  <c r="L38" i="13"/>
  <c r="F25" i="13"/>
  <c r="F26" i="13" s="1"/>
  <c r="F28" i="13" s="1"/>
  <c r="T31" i="13" s="1"/>
  <c r="F30" i="13"/>
  <c r="E25" i="13" l="1"/>
  <c r="E26" i="13" s="1"/>
  <c r="E28" i="13" s="1"/>
  <c r="S31" i="13" s="1"/>
  <c r="E30" i="13"/>
  <c r="K32" i="13"/>
  <c r="K33" i="13" s="1"/>
  <c r="K35" i="13" s="1"/>
  <c r="K36" i="13" s="1"/>
  <c r="K38" i="13"/>
  <c r="K37" i="13"/>
  <c r="C30" i="13"/>
  <c r="C25" i="13"/>
  <c r="C26" i="13" s="1"/>
  <c r="C28" i="13" s="1"/>
  <c r="Q31" i="13" s="1"/>
  <c r="F32" i="13"/>
  <c r="F33" i="13" s="1"/>
  <c r="F35" i="13" s="1"/>
  <c r="F36" i="13" s="1"/>
  <c r="F37" i="13"/>
  <c r="F38" i="13"/>
  <c r="E37" i="13" l="1"/>
  <c r="E38" i="13"/>
  <c r="E32" i="13"/>
  <c r="E33" i="13" s="1"/>
  <c r="E35" i="13" s="1"/>
  <c r="E36" i="13" s="1"/>
  <c r="C32" i="13"/>
  <c r="C33" i="13" s="1"/>
  <c r="C35" i="13" s="1"/>
  <c r="C36" i="13" s="1"/>
  <c r="C38" i="13"/>
  <c r="C37" i="13"/>
  <c r="AF284" i="1" l="1"/>
  <c r="AG284" i="1" s="1"/>
  <c r="S326" i="1"/>
  <c r="T326" i="1" s="1"/>
  <c r="U326" i="1" s="1"/>
  <c r="V326" i="1" s="1"/>
  <c r="P322" i="1"/>
  <c r="O322" i="1"/>
  <c r="N322" i="1"/>
  <c r="M322" i="1"/>
  <c r="L322" i="1"/>
  <c r="K322" i="1"/>
  <c r="J322" i="1"/>
  <c r="I322" i="1"/>
  <c r="H322" i="1"/>
  <c r="G322" i="1"/>
  <c r="F322" i="1"/>
  <c r="E322" i="1"/>
  <c r="D322" i="1"/>
  <c r="C322" i="1"/>
  <c r="Q322" i="1"/>
  <c r="R322" i="1" s="1"/>
  <c r="R263" i="1"/>
  <c r="Z295" i="1"/>
  <c r="Y295" i="1"/>
  <c r="X295" i="1"/>
  <c r="Z289" i="1"/>
  <c r="Y289" i="1"/>
  <c r="X289" i="1"/>
  <c r="Z277" i="1"/>
  <c r="Y277" i="1"/>
  <c r="X277" i="1"/>
  <c r="AB294" i="1"/>
  <c r="AA294" i="1"/>
  <c r="Z294" i="1"/>
  <c r="Y294" i="1"/>
  <c r="AB293" i="1"/>
  <c r="AA293" i="1"/>
  <c r="Z293" i="1"/>
  <c r="Y293" i="1"/>
  <c r="X293" i="1"/>
  <c r="Z292" i="1"/>
  <c r="Y292" i="1"/>
  <c r="AB288" i="1"/>
  <c r="AA288" i="1"/>
  <c r="Z288" i="1"/>
  <c r="Y288" i="1"/>
  <c r="X288" i="1"/>
  <c r="AB287" i="1"/>
  <c r="AA287" i="1"/>
  <c r="Z287" i="1"/>
  <c r="Y287" i="1"/>
  <c r="X287" i="1"/>
  <c r="Z286" i="1"/>
  <c r="Y286" i="1"/>
  <c r="X286" i="1"/>
  <c r="AB285" i="1"/>
  <c r="AA285" i="1"/>
  <c r="Z285" i="1"/>
  <c r="Y285" i="1"/>
  <c r="X285" i="1"/>
  <c r="AA284" i="1"/>
  <c r="Z284" i="1"/>
  <c r="Y284" i="1"/>
  <c r="X284" i="1"/>
  <c r="AB283" i="1"/>
  <c r="AA283" i="1"/>
  <c r="Z283" i="1"/>
  <c r="Y283" i="1"/>
  <c r="X283" i="1"/>
  <c r="AB282" i="1"/>
  <c r="AA282" i="1"/>
  <c r="Z282" i="1"/>
  <c r="Y282" i="1"/>
  <c r="X282" i="1"/>
  <c r="AB281" i="1"/>
  <c r="AA281" i="1"/>
  <c r="Z281" i="1"/>
  <c r="Y281" i="1"/>
  <c r="X281" i="1"/>
  <c r="AB280" i="1"/>
  <c r="AA280" i="1"/>
  <c r="Z280" i="1"/>
  <c r="Y280" i="1"/>
  <c r="X280" i="1"/>
  <c r="AB276" i="1"/>
  <c r="AA276" i="1"/>
  <c r="Z276" i="1"/>
  <c r="Y276" i="1"/>
  <c r="X276" i="1"/>
  <c r="AB275" i="1"/>
  <c r="AA275" i="1"/>
  <c r="Z275" i="1"/>
  <c r="Y275" i="1"/>
  <c r="X275" i="1"/>
  <c r="AB265" i="1"/>
  <c r="AA265" i="1"/>
  <c r="Z265" i="1"/>
  <c r="Y265" i="1"/>
  <c r="X265" i="1"/>
  <c r="AB264" i="1"/>
  <c r="AA264" i="1"/>
  <c r="Z264" i="1"/>
  <c r="Y264" i="1"/>
  <c r="X264" i="1"/>
  <c r="Z263" i="1"/>
  <c r="Y263" i="1"/>
  <c r="X263" i="1"/>
  <c r="AB262" i="1"/>
  <c r="AA262" i="1"/>
  <c r="Z262" i="1"/>
  <c r="Y262" i="1"/>
  <c r="X262" i="1"/>
  <c r="AB261" i="1"/>
  <c r="AA261" i="1"/>
  <c r="Z261" i="1"/>
  <c r="Y261" i="1"/>
  <c r="X261" i="1"/>
  <c r="AB260" i="1"/>
  <c r="AA260" i="1"/>
  <c r="Z260" i="1"/>
  <c r="Y260" i="1"/>
  <c r="X260" i="1"/>
  <c r="AB259" i="1"/>
  <c r="AA259" i="1"/>
  <c r="Z259" i="1"/>
  <c r="Y259" i="1"/>
  <c r="X259" i="1"/>
  <c r="AB232" i="1"/>
  <c r="AA232" i="1"/>
  <c r="Z248" i="1"/>
  <c r="Z247" i="1"/>
  <c r="Z246" i="1"/>
  <c r="Z245" i="1"/>
  <c r="Z244" i="1"/>
  <c r="Z243" i="1"/>
  <c r="Z238" i="1"/>
  <c r="Z237" i="1"/>
  <c r="Z236" i="1"/>
  <c r="Z235" i="1"/>
  <c r="Z232" i="1"/>
  <c r="Z231" i="1"/>
  <c r="Z230" i="1"/>
  <c r="Z229" i="1"/>
  <c r="Z228" i="1"/>
  <c r="Z227" i="1"/>
  <c r="Z222" i="1"/>
  <c r="Z221" i="1"/>
  <c r="Z220" i="1"/>
  <c r="Z219" i="1"/>
  <c r="Z218" i="1"/>
  <c r="Z215" i="1"/>
  <c r="Z214" i="1"/>
  <c r="Z213" i="1"/>
  <c r="Z212" i="1"/>
  <c r="Z211" i="1"/>
  <c r="Y248" i="1"/>
  <c r="Y247" i="1"/>
  <c r="Y246" i="1"/>
  <c r="Y245" i="1"/>
  <c r="Y244" i="1"/>
  <c r="Y243" i="1"/>
  <c r="Y238" i="1"/>
  <c r="Y237" i="1"/>
  <c r="Y236" i="1"/>
  <c r="Y235" i="1"/>
  <c r="Y232" i="1"/>
  <c r="Y231" i="1"/>
  <c r="Y314" i="1" s="1"/>
  <c r="Y230" i="1"/>
  <c r="Y229" i="1"/>
  <c r="Y313" i="1" s="1"/>
  <c r="Y228" i="1"/>
  <c r="Y312" i="1" s="1"/>
  <c r="Y227" i="1"/>
  <c r="Y222" i="1"/>
  <c r="Y221" i="1"/>
  <c r="Y220" i="1"/>
  <c r="Y219" i="1"/>
  <c r="Y218" i="1"/>
  <c r="Y215" i="1"/>
  <c r="Y308" i="1" s="1"/>
  <c r="Y214" i="1"/>
  <c r="Y213" i="1"/>
  <c r="Y212" i="1"/>
  <c r="Y306" i="1" s="1"/>
  <c r="Y211" i="1"/>
  <c r="X248" i="1"/>
  <c r="X247" i="1"/>
  <c r="X246" i="1"/>
  <c r="X245" i="1"/>
  <c r="X244" i="1"/>
  <c r="X243" i="1"/>
  <c r="X238" i="1"/>
  <c r="X237" i="1"/>
  <c r="X236" i="1"/>
  <c r="X235" i="1"/>
  <c r="X232" i="1"/>
  <c r="X231" i="1"/>
  <c r="X314" i="1" s="1"/>
  <c r="X230" i="1"/>
  <c r="X229" i="1"/>
  <c r="X313" i="1" s="1"/>
  <c r="X228" i="1"/>
  <c r="X312" i="1" s="1"/>
  <c r="X227" i="1"/>
  <c r="X222" i="1"/>
  <c r="X221" i="1"/>
  <c r="X220" i="1"/>
  <c r="X219" i="1"/>
  <c r="X218" i="1"/>
  <c r="X215" i="1"/>
  <c r="X308" i="1" s="1"/>
  <c r="X214" i="1"/>
  <c r="X213" i="1"/>
  <c r="X212" i="1"/>
  <c r="X211" i="1"/>
  <c r="Z199" i="1"/>
  <c r="Y199" i="1"/>
  <c r="X199" i="1"/>
  <c r="AD191" i="1"/>
  <c r="AE191" i="1" s="1"/>
  <c r="AF191" i="1" s="1"/>
  <c r="AG191" i="1" s="1"/>
  <c r="Q202" i="1"/>
  <c r="P202" i="1"/>
  <c r="O202" i="1"/>
  <c r="N202" i="1"/>
  <c r="M202" i="1"/>
  <c r="L202" i="1"/>
  <c r="K202" i="1"/>
  <c r="I202" i="1"/>
  <c r="H202" i="1"/>
  <c r="G202" i="1"/>
  <c r="F202" i="1"/>
  <c r="E202" i="1"/>
  <c r="N274" i="1"/>
  <c r="M274" i="1"/>
  <c r="L274" i="1"/>
  <c r="K274" i="1"/>
  <c r="J274" i="1"/>
  <c r="I274" i="1"/>
  <c r="H274" i="1"/>
  <c r="G274" i="1"/>
  <c r="F274" i="1"/>
  <c r="E274" i="1"/>
  <c r="D274" i="1"/>
  <c r="N273" i="1"/>
  <c r="M273" i="1"/>
  <c r="L273" i="1"/>
  <c r="K273" i="1"/>
  <c r="J273" i="1"/>
  <c r="I273" i="1"/>
  <c r="H273" i="1"/>
  <c r="G273" i="1"/>
  <c r="F273" i="1"/>
  <c r="E273" i="1"/>
  <c r="D273" i="1"/>
  <c r="N272" i="1"/>
  <c r="M272" i="1"/>
  <c r="L272" i="1"/>
  <c r="K272" i="1"/>
  <c r="J272" i="1"/>
  <c r="I272" i="1"/>
  <c r="H272" i="1"/>
  <c r="G272" i="1"/>
  <c r="F272" i="1"/>
  <c r="E272" i="1"/>
  <c r="D272" i="1"/>
  <c r="N271" i="1"/>
  <c r="M271" i="1"/>
  <c r="L271" i="1"/>
  <c r="K271" i="1"/>
  <c r="J271" i="1"/>
  <c r="I271" i="1"/>
  <c r="H271" i="1"/>
  <c r="G271" i="1"/>
  <c r="F271" i="1"/>
  <c r="E271" i="1"/>
  <c r="D271" i="1"/>
  <c r="N270" i="1"/>
  <c r="M270" i="1"/>
  <c r="L270" i="1"/>
  <c r="K270" i="1"/>
  <c r="J270" i="1"/>
  <c r="I270" i="1"/>
  <c r="H270" i="1"/>
  <c r="G270" i="1"/>
  <c r="F270" i="1"/>
  <c r="E270" i="1"/>
  <c r="D270" i="1"/>
  <c r="N269" i="1"/>
  <c r="M269" i="1"/>
  <c r="L269" i="1"/>
  <c r="K269" i="1"/>
  <c r="J269" i="1"/>
  <c r="I269" i="1"/>
  <c r="H269" i="1"/>
  <c r="G269" i="1"/>
  <c r="F269" i="1"/>
  <c r="E269" i="1"/>
  <c r="D269" i="1"/>
  <c r="N268" i="1"/>
  <c r="M268" i="1"/>
  <c r="L268" i="1"/>
  <c r="K268" i="1"/>
  <c r="J268" i="1"/>
  <c r="I268" i="1"/>
  <c r="H268" i="1"/>
  <c r="G268" i="1"/>
  <c r="F268" i="1"/>
  <c r="E268" i="1"/>
  <c r="D268" i="1"/>
  <c r="N258" i="1"/>
  <c r="M258" i="1"/>
  <c r="L258" i="1"/>
  <c r="K258" i="1"/>
  <c r="J258" i="1"/>
  <c r="I258" i="1"/>
  <c r="H258" i="1"/>
  <c r="G258" i="1"/>
  <c r="F258" i="1"/>
  <c r="E258" i="1"/>
  <c r="D258" i="1"/>
  <c r="C258" i="1"/>
  <c r="D299" i="1"/>
  <c r="N298" i="1"/>
  <c r="M298" i="1"/>
  <c r="L298" i="1"/>
  <c r="K298" i="1"/>
  <c r="J298" i="1"/>
  <c r="I298" i="1"/>
  <c r="H298" i="1"/>
  <c r="G298" i="1"/>
  <c r="F298" i="1"/>
  <c r="E298" i="1"/>
  <c r="D298" i="1"/>
  <c r="C298" i="1"/>
  <c r="C294" i="1"/>
  <c r="X294" i="1" s="1"/>
  <c r="D202" i="1"/>
  <c r="R190" i="1"/>
  <c r="D311" i="1"/>
  <c r="E311" i="1"/>
  <c r="F311" i="1"/>
  <c r="G311" i="1"/>
  <c r="H311" i="1"/>
  <c r="I311" i="1"/>
  <c r="J311" i="1"/>
  <c r="K311" i="1"/>
  <c r="L311" i="1"/>
  <c r="M311" i="1"/>
  <c r="N311" i="1"/>
  <c r="O311" i="1"/>
  <c r="P311" i="1"/>
  <c r="Q311" i="1"/>
  <c r="C311" i="1"/>
  <c r="S24" i="1"/>
  <c r="T24" i="1" s="1"/>
  <c r="U24" i="1" s="1"/>
  <c r="V24" i="1" s="1"/>
  <c r="L24" i="1"/>
  <c r="P24" i="1"/>
  <c r="D24" i="1"/>
  <c r="E24" i="1" s="1"/>
  <c r="H24" i="1"/>
  <c r="I24" i="1" s="1"/>
  <c r="E344" i="1"/>
  <c r="F344" i="1"/>
  <c r="G344" i="1"/>
  <c r="H344" i="1"/>
  <c r="I344" i="1"/>
  <c r="J344" i="1"/>
  <c r="K344" i="1"/>
  <c r="L344" i="1"/>
  <c r="M344" i="1"/>
  <c r="N344" i="1"/>
  <c r="O344" i="1"/>
  <c r="P344" i="1"/>
  <c r="Q344" i="1"/>
  <c r="C344" i="1"/>
  <c r="AB27" i="1"/>
  <c r="AA27" i="1"/>
  <c r="L27" i="1"/>
  <c r="M27" i="1"/>
  <c r="N27" i="1"/>
  <c r="K27" i="1"/>
  <c r="H27" i="1"/>
  <c r="I27" i="1"/>
  <c r="J27" i="1"/>
  <c r="G27" i="1"/>
  <c r="D27" i="1"/>
  <c r="E27" i="1"/>
  <c r="F27" i="1"/>
  <c r="C27" i="1"/>
  <c r="K33" i="1"/>
  <c r="Z194" i="1"/>
  <c r="Y194" i="1"/>
  <c r="X194" i="1"/>
  <c r="Z191" i="1"/>
  <c r="Y191" i="1"/>
  <c r="X191" i="1"/>
  <c r="Z190" i="1"/>
  <c r="Y190" i="1"/>
  <c r="X190" i="1"/>
  <c r="Y184" i="1"/>
  <c r="X184" i="1"/>
  <c r="Y174" i="1"/>
  <c r="Y175" i="1" s="1"/>
  <c r="X174" i="1"/>
  <c r="X175" i="1" s="1"/>
  <c r="Y179" i="1"/>
  <c r="X179" i="1"/>
  <c r="Y177" i="1"/>
  <c r="X177" i="1"/>
  <c r="Y164" i="1"/>
  <c r="P47" i="32" s="1"/>
  <c r="X164" i="1"/>
  <c r="O47" i="32" s="1"/>
  <c r="Y162" i="1"/>
  <c r="P46" i="32" s="1"/>
  <c r="X162" i="1"/>
  <c r="O46" i="32" s="1"/>
  <c r="Y160" i="1"/>
  <c r="P45" i="32" s="1"/>
  <c r="X160" i="1"/>
  <c r="O45" i="32" s="1"/>
  <c r="Y158" i="1"/>
  <c r="P44" i="32" s="1"/>
  <c r="X158" i="1"/>
  <c r="O44" i="32" s="1"/>
  <c r="D307" i="1"/>
  <c r="E307" i="1"/>
  <c r="F307" i="1"/>
  <c r="G307" i="1"/>
  <c r="H307" i="1"/>
  <c r="I307" i="1"/>
  <c r="J307" i="1"/>
  <c r="K307" i="1"/>
  <c r="L307" i="1"/>
  <c r="M307" i="1"/>
  <c r="N307" i="1"/>
  <c r="O307" i="1"/>
  <c r="P307" i="1"/>
  <c r="Q307" i="1"/>
  <c r="C307" i="1"/>
  <c r="J202" i="1"/>
  <c r="C202" i="1"/>
  <c r="J166" i="1"/>
  <c r="I166" i="1"/>
  <c r="H166" i="1"/>
  <c r="G166" i="1"/>
  <c r="F166" i="1"/>
  <c r="E166" i="1"/>
  <c r="D166" i="1"/>
  <c r="C166" i="1"/>
  <c r="D333" i="1"/>
  <c r="E333" i="1"/>
  <c r="F333" i="1"/>
  <c r="G333" i="1"/>
  <c r="H333" i="1"/>
  <c r="I333" i="1"/>
  <c r="J333" i="1"/>
  <c r="K333" i="1"/>
  <c r="L333" i="1"/>
  <c r="M333" i="1"/>
  <c r="N333" i="1"/>
  <c r="O333" i="1"/>
  <c r="P333" i="1"/>
  <c r="C333" i="1"/>
  <c r="J233" i="1"/>
  <c r="J239" i="1" s="1"/>
  <c r="J249" i="1" s="1"/>
  <c r="I233" i="1"/>
  <c r="I239" i="1" s="1"/>
  <c r="I249" i="1" s="1"/>
  <c r="H233" i="1"/>
  <c r="H239" i="1" s="1"/>
  <c r="H249" i="1" s="1"/>
  <c r="G233" i="1"/>
  <c r="G239" i="1" s="1"/>
  <c r="G249" i="1" s="1"/>
  <c r="F233" i="1"/>
  <c r="F239" i="1" s="1"/>
  <c r="F249" i="1" s="1"/>
  <c r="E233" i="1"/>
  <c r="E239" i="1" s="1"/>
  <c r="E249" i="1" s="1"/>
  <c r="D233" i="1"/>
  <c r="D239" i="1" s="1"/>
  <c r="D249" i="1" s="1"/>
  <c r="C233" i="1"/>
  <c r="C239" i="1" s="1"/>
  <c r="C249" i="1" s="1"/>
  <c r="J216" i="1"/>
  <c r="J223" i="1" s="1"/>
  <c r="I216" i="1"/>
  <c r="I223" i="1" s="1"/>
  <c r="H216" i="1"/>
  <c r="H223" i="1" s="1"/>
  <c r="G216" i="1"/>
  <c r="G223" i="1" s="1"/>
  <c r="F216" i="1"/>
  <c r="F223" i="1" s="1"/>
  <c r="E216" i="1"/>
  <c r="E223" i="1" s="1"/>
  <c r="D216" i="1"/>
  <c r="D223" i="1" s="1"/>
  <c r="C216" i="1"/>
  <c r="C223" i="1" s="1"/>
  <c r="K223" i="1"/>
  <c r="O233" i="1"/>
  <c r="O239" i="1" s="1"/>
  <c r="O249" i="1" s="1"/>
  <c r="N233" i="1"/>
  <c r="N239" i="1" s="1"/>
  <c r="M233" i="1"/>
  <c r="M239" i="1" s="1"/>
  <c r="M249" i="1" s="1"/>
  <c r="L233" i="1"/>
  <c r="L239" i="1" s="1"/>
  <c r="L249" i="1" s="1"/>
  <c r="O216" i="1"/>
  <c r="O223" i="1" s="1"/>
  <c r="N216" i="1"/>
  <c r="N223" i="1" s="1"/>
  <c r="M216" i="1"/>
  <c r="M223" i="1" s="1"/>
  <c r="L216" i="1"/>
  <c r="L223" i="1" s="1"/>
  <c r="P289" i="1"/>
  <c r="P295" i="1"/>
  <c r="P277" i="1"/>
  <c r="O295" i="1"/>
  <c r="O289" i="1"/>
  <c r="P233" i="1"/>
  <c r="P239" i="1" s="1"/>
  <c r="P216" i="1"/>
  <c r="P223" i="1" s="1"/>
  <c r="D108" i="1"/>
  <c r="E108" i="1"/>
  <c r="F108" i="1"/>
  <c r="G108" i="1"/>
  <c r="H108" i="1"/>
  <c r="I108" i="1"/>
  <c r="J108" i="1"/>
  <c r="K108" i="1"/>
  <c r="L108" i="1"/>
  <c r="M108" i="1"/>
  <c r="N108" i="1"/>
  <c r="O108" i="1"/>
  <c r="P108" i="1"/>
  <c r="Q108" i="1"/>
  <c r="C108" i="1"/>
  <c r="L5" i="10"/>
  <c r="D5" i="10" s="1"/>
  <c r="Y123" i="1"/>
  <c r="Z117" i="1"/>
  <c r="Y117" i="1"/>
  <c r="X117" i="1"/>
  <c r="Z115" i="1"/>
  <c r="Y115" i="1"/>
  <c r="X115" i="1"/>
  <c r="Z113" i="1"/>
  <c r="Y113" i="1"/>
  <c r="X113" i="1"/>
  <c r="Z111" i="1"/>
  <c r="Y111" i="1"/>
  <c r="X111" i="1"/>
  <c r="Z98" i="1"/>
  <c r="Y98" i="1"/>
  <c r="X98" i="1"/>
  <c r="Z96" i="1"/>
  <c r="Y96" i="1"/>
  <c r="X96" i="1"/>
  <c r="Z94" i="1"/>
  <c r="Y94" i="1"/>
  <c r="X94" i="1"/>
  <c r="Z92" i="1"/>
  <c r="Y92" i="1"/>
  <c r="X92" i="1"/>
  <c r="Z83" i="1"/>
  <c r="Y83" i="1"/>
  <c r="X83" i="1"/>
  <c r="Z81" i="1"/>
  <c r="Y81" i="1"/>
  <c r="X81" i="1"/>
  <c r="Z79" i="1"/>
  <c r="Y79" i="1"/>
  <c r="X79" i="1"/>
  <c r="S11" i="1"/>
  <c r="T11" i="1"/>
  <c r="U11" i="1"/>
  <c r="V11" i="1"/>
  <c r="R11" i="1"/>
  <c r="AA11" i="1" s="1"/>
  <c r="E21" i="10"/>
  <c r="F21" i="10" s="1"/>
  <c r="G21" i="10" s="1"/>
  <c r="H21" i="10" s="1"/>
  <c r="I21" i="10" s="1"/>
  <c r="J21" i="10" s="1"/>
  <c r="E11" i="10"/>
  <c r="F11" i="10" s="1"/>
  <c r="G11" i="10" s="1"/>
  <c r="H11" i="10" s="1"/>
  <c r="I11" i="10" s="1"/>
  <c r="J11" i="10" s="1"/>
  <c r="E15" i="10"/>
  <c r="I7" i="10"/>
  <c r="E4" i="10"/>
  <c r="F4" i="10" s="1"/>
  <c r="G4" i="10" s="1"/>
  <c r="H4" i="10" s="1"/>
  <c r="I4" i="10" s="1"/>
  <c r="J4" i="10" s="1"/>
  <c r="Q118" i="1"/>
  <c r="P118" i="1"/>
  <c r="O118" i="1"/>
  <c r="N118" i="1"/>
  <c r="M118" i="1"/>
  <c r="L118" i="1"/>
  <c r="K118" i="1"/>
  <c r="J118" i="1"/>
  <c r="I118" i="1"/>
  <c r="H118" i="1"/>
  <c r="G118" i="1"/>
  <c r="Q116" i="1"/>
  <c r="P116" i="1"/>
  <c r="O116" i="1"/>
  <c r="N116" i="1"/>
  <c r="M116" i="1"/>
  <c r="L116" i="1"/>
  <c r="K116" i="1"/>
  <c r="J116" i="1"/>
  <c r="I116" i="1"/>
  <c r="H116" i="1"/>
  <c r="G116" i="1"/>
  <c r="Q114" i="1"/>
  <c r="P114" i="1"/>
  <c r="O114" i="1"/>
  <c r="N114" i="1"/>
  <c r="M114" i="1"/>
  <c r="L114" i="1"/>
  <c r="K114" i="1"/>
  <c r="J114" i="1"/>
  <c r="I114" i="1"/>
  <c r="H114" i="1"/>
  <c r="G114" i="1"/>
  <c r="Q112" i="1"/>
  <c r="P112" i="1"/>
  <c r="O112" i="1"/>
  <c r="N112" i="1"/>
  <c r="M112" i="1"/>
  <c r="L112" i="1"/>
  <c r="K112" i="1"/>
  <c r="J112" i="1"/>
  <c r="I112" i="1"/>
  <c r="H112" i="1"/>
  <c r="G112" i="1"/>
  <c r="Q99" i="1"/>
  <c r="P99" i="1"/>
  <c r="O99" i="1"/>
  <c r="N99" i="1"/>
  <c r="M99" i="1"/>
  <c r="L99" i="1"/>
  <c r="K99" i="1"/>
  <c r="J99" i="1"/>
  <c r="I99" i="1"/>
  <c r="H99" i="1"/>
  <c r="G99" i="1"/>
  <c r="Q97" i="1"/>
  <c r="P97" i="1"/>
  <c r="O97" i="1"/>
  <c r="N97" i="1"/>
  <c r="M97" i="1"/>
  <c r="L97" i="1"/>
  <c r="K97" i="1"/>
  <c r="J97" i="1"/>
  <c r="I97" i="1"/>
  <c r="H97" i="1"/>
  <c r="G97" i="1"/>
  <c r="Q95" i="1"/>
  <c r="P95" i="1"/>
  <c r="O95" i="1"/>
  <c r="N95" i="1"/>
  <c r="M95" i="1"/>
  <c r="L95" i="1"/>
  <c r="K95" i="1"/>
  <c r="J95" i="1"/>
  <c r="I95" i="1"/>
  <c r="H95" i="1"/>
  <c r="G95" i="1"/>
  <c r="Q93" i="1"/>
  <c r="P93" i="1"/>
  <c r="O93" i="1"/>
  <c r="N93" i="1"/>
  <c r="M93" i="1"/>
  <c r="L93" i="1"/>
  <c r="K93" i="1"/>
  <c r="J93" i="1"/>
  <c r="I93" i="1"/>
  <c r="H93" i="1"/>
  <c r="G93" i="1"/>
  <c r="Q84" i="1"/>
  <c r="P84" i="1"/>
  <c r="O84" i="1"/>
  <c r="N84" i="1"/>
  <c r="M84" i="1"/>
  <c r="L84" i="1"/>
  <c r="K84" i="1"/>
  <c r="J84" i="1"/>
  <c r="I84" i="1"/>
  <c r="H84" i="1"/>
  <c r="G84" i="1"/>
  <c r="Q82" i="1"/>
  <c r="P82" i="1"/>
  <c r="O82" i="1"/>
  <c r="N82" i="1"/>
  <c r="M82" i="1"/>
  <c r="L82" i="1"/>
  <c r="K82" i="1"/>
  <c r="J82" i="1"/>
  <c r="I82" i="1"/>
  <c r="H82" i="1"/>
  <c r="G82" i="1"/>
  <c r="Q80" i="1"/>
  <c r="P80" i="1"/>
  <c r="O80" i="1"/>
  <c r="N80" i="1"/>
  <c r="M80" i="1"/>
  <c r="L80" i="1"/>
  <c r="K80" i="1"/>
  <c r="J80" i="1"/>
  <c r="I80" i="1"/>
  <c r="H80" i="1"/>
  <c r="G80" i="1"/>
  <c r="Q78" i="1"/>
  <c r="P78" i="1"/>
  <c r="O78" i="1"/>
  <c r="N78" i="1"/>
  <c r="M78" i="1"/>
  <c r="L78" i="1"/>
  <c r="K78" i="1"/>
  <c r="J78" i="1"/>
  <c r="I78" i="1"/>
  <c r="H78" i="1"/>
  <c r="G78" i="1"/>
  <c r="N68" i="1"/>
  <c r="M68" i="1"/>
  <c r="L68" i="1"/>
  <c r="K68" i="1"/>
  <c r="J68" i="1"/>
  <c r="I68" i="1"/>
  <c r="H68" i="1"/>
  <c r="G68" i="1"/>
  <c r="N66" i="1"/>
  <c r="M66" i="1"/>
  <c r="L66" i="1"/>
  <c r="K66" i="1"/>
  <c r="J66" i="1"/>
  <c r="I66" i="1"/>
  <c r="H66" i="1"/>
  <c r="G66" i="1"/>
  <c r="N64" i="1"/>
  <c r="M64" i="1"/>
  <c r="L64" i="1"/>
  <c r="K64" i="1"/>
  <c r="J64" i="1"/>
  <c r="I64" i="1"/>
  <c r="H64" i="1"/>
  <c r="G64" i="1"/>
  <c r="N62" i="1"/>
  <c r="M62" i="1"/>
  <c r="L62" i="1"/>
  <c r="K62" i="1"/>
  <c r="J62" i="1"/>
  <c r="I62" i="1"/>
  <c r="H62" i="1"/>
  <c r="G62" i="1"/>
  <c r="S55" i="1"/>
  <c r="T55" i="1"/>
  <c r="U55" i="1"/>
  <c r="V55" i="1"/>
  <c r="T54" i="1"/>
  <c r="U54" i="1"/>
  <c r="V54" i="1"/>
  <c r="S54" i="1"/>
  <c r="AB53" i="1"/>
  <c r="AC53" i="1" s="1"/>
  <c r="AD53" i="1" s="1"/>
  <c r="AE53" i="1" s="1"/>
  <c r="AF53" i="1" s="1"/>
  <c r="AG53" i="1" s="1"/>
  <c r="AD52" i="1"/>
  <c r="AE52" i="1" s="1"/>
  <c r="AF52" i="1" s="1"/>
  <c r="AG52" i="1" s="1"/>
  <c r="T52" i="1"/>
  <c r="U52" i="1"/>
  <c r="V52" i="1"/>
  <c r="S52" i="1"/>
  <c r="R52" i="1"/>
  <c r="AA52" i="1" s="1"/>
  <c r="T51" i="1"/>
  <c r="U51" i="1"/>
  <c r="V51" i="1"/>
  <c r="S51" i="1"/>
  <c r="AB49" i="1"/>
  <c r="AC49" i="1" s="1"/>
  <c r="AD49" i="1" s="1"/>
  <c r="AB32" i="1"/>
  <c r="AB31" i="1"/>
  <c r="AB30" i="1"/>
  <c r="R53" i="1"/>
  <c r="AA53" i="1" s="1"/>
  <c r="R54" i="1"/>
  <c r="R55" i="1"/>
  <c r="AA55" i="1" s="1"/>
  <c r="R51" i="1"/>
  <c r="AA51" i="1" s="1"/>
  <c r="R41" i="1"/>
  <c r="S41" i="1" s="1"/>
  <c r="T41" i="1" s="1"/>
  <c r="U41" i="1" s="1"/>
  <c r="V41" i="1" s="1"/>
  <c r="R42" i="1"/>
  <c r="S42" i="1" s="1"/>
  <c r="T42" i="1" s="1"/>
  <c r="U42" i="1" s="1"/>
  <c r="V42" i="1" s="1"/>
  <c r="R43" i="1"/>
  <c r="S43" i="1" s="1"/>
  <c r="T43" i="1" s="1"/>
  <c r="U43" i="1" s="1"/>
  <c r="V43" i="1" s="1"/>
  <c r="R44" i="1"/>
  <c r="S44" i="1" s="1"/>
  <c r="R45" i="1"/>
  <c r="AA45" i="1" s="1"/>
  <c r="R46" i="1"/>
  <c r="AA46" i="1" s="1"/>
  <c r="R47" i="1"/>
  <c r="S47" i="1" s="1"/>
  <c r="T47" i="1" s="1"/>
  <c r="U47" i="1" s="1"/>
  <c r="V47" i="1" s="1"/>
  <c r="R48" i="1"/>
  <c r="S48" i="1" s="1"/>
  <c r="T48" i="1" s="1"/>
  <c r="U48" i="1" s="1"/>
  <c r="V48" i="1" s="1"/>
  <c r="R40" i="1"/>
  <c r="AA40" i="1" s="1"/>
  <c r="AB23" i="1"/>
  <c r="AB22" i="1"/>
  <c r="AB21" i="1"/>
  <c r="AB20" i="1"/>
  <c r="AE17" i="1"/>
  <c r="AF17" i="1" s="1"/>
  <c r="AG17" i="1" s="1"/>
  <c r="S12" i="1"/>
  <c r="T12" i="1"/>
  <c r="U12" i="1"/>
  <c r="S13" i="1"/>
  <c r="T13" i="1"/>
  <c r="U13" i="1"/>
  <c r="S14" i="1"/>
  <c r="T14" i="1"/>
  <c r="U14" i="1"/>
  <c r="S15" i="1"/>
  <c r="T15" i="1"/>
  <c r="U15" i="1"/>
  <c r="R15" i="1"/>
  <c r="V15" i="1" s="1"/>
  <c r="R14" i="1"/>
  <c r="AA14" i="1" s="1"/>
  <c r="R13" i="1"/>
  <c r="AA13" i="1" s="1"/>
  <c r="R12" i="1"/>
  <c r="V12" i="1" s="1"/>
  <c r="Y55" i="1"/>
  <c r="Z55" i="1"/>
  <c r="Z54" i="1"/>
  <c r="Z53" i="1"/>
  <c r="Z52" i="1"/>
  <c r="X55" i="1"/>
  <c r="X54" i="1"/>
  <c r="X53" i="1"/>
  <c r="Y54" i="1"/>
  <c r="Y53" i="1"/>
  <c r="D56" i="1"/>
  <c r="E56" i="1"/>
  <c r="F56" i="1"/>
  <c r="G56" i="1"/>
  <c r="H56" i="1"/>
  <c r="I56" i="1"/>
  <c r="J56" i="1"/>
  <c r="K56" i="1"/>
  <c r="L56" i="1"/>
  <c r="M56" i="1"/>
  <c r="N56" i="1"/>
  <c r="O56" i="1"/>
  <c r="P56" i="1"/>
  <c r="Q56" i="1"/>
  <c r="C56" i="1"/>
  <c r="C316" i="1"/>
  <c r="D316" i="1"/>
  <c r="E316" i="1"/>
  <c r="F316" i="1"/>
  <c r="G316" i="1"/>
  <c r="H316" i="1"/>
  <c r="I316" i="1"/>
  <c r="J316" i="1"/>
  <c r="K316" i="1"/>
  <c r="L316" i="1"/>
  <c r="M316" i="1"/>
  <c r="N316" i="1"/>
  <c r="O316" i="1"/>
  <c r="P316" i="1"/>
  <c r="Q316" i="1"/>
  <c r="X41" i="1"/>
  <c r="Y41" i="1"/>
  <c r="Z41" i="1"/>
  <c r="X45" i="1"/>
  <c r="Y45" i="1"/>
  <c r="Z45" i="1"/>
  <c r="X46" i="1"/>
  <c r="Y46" i="1"/>
  <c r="Z46" i="1"/>
  <c r="X47" i="1"/>
  <c r="Y47" i="1"/>
  <c r="Z47" i="1"/>
  <c r="X51" i="1"/>
  <c r="Y51" i="1"/>
  <c r="Z51" i="1"/>
  <c r="X48" i="1"/>
  <c r="Y48" i="1"/>
  <c r="Z48" i="1"/>
  <c r="X49" i="1"/>
  <c r="Y49" i="1"/>
  <c r="Z49" i="1"/>
  <c r="AA49" i="1"/>
  <c r="Z40" i="1"/>
  <c r="Y40" i="1"/>
  <c r="X40" i="1"/>
  <c r="Y77" i="1"/>
  <c r="X77" i="1"/>
  <c r="K16" i="1"/>
  <c r="L16" i="1"/>
  <c r="M16" i="1"/>
  <c r="N16" i="1"/>
  <c r="O16" i="1"/>
  <c r="P16" i="1"/>
  <c r="Q16" i="1"/>
  <c r="L33" i="1"/>
  <c r="M33" i="1"/>
  <c r="N33" i="1"/>
  <c r="O33" i="1"/>
  <c r="S33" i="1" s="1"/>
  <c r="P33" i="1"/>
  <c r="T33" i="1" s="1"/>
  <c r="Q33" i="1"/>
  <c r="U33" i="1" s="1"/>
  <c r="AA32" i="1"/>
  <c r="Z32" i="1"/>
  <c r="Y32" i="1"/>
  <c r="X32" i="1"/>
  <c r="AA31" i="1"/>
  <c r="Z31" i="1"/>
  <c r="Y31" i="1"/>
  <c r="X31" i="1"/>
  <c r="AA30" i="1"/>
  <c r="Z30" i="1"/>
  <c r="Y30" i="1"/>
  <c r="X30" i="1"/>
  <c r="AA23" i="1"/>
  <c r="Z23" i="1"/>
  <c r="Y23" i="1"/>
  <c r="X23" i="1"/>
  <c r="AA22" i="1"/>
  <c r="Z22" i="1"/>
  <c r="Y22" i="1"/>
  <c r="X22" i="1"/>
  <c r="AA21" i="1"/>
  <c r="Z21" i="1"/>
  <c r="Y21" i="1"/>
  <c r="X21" i="1"/>
  <c r="AA20" i="1"/>
  <c r="Z20" i="1"/>
  <c r="Y20" i="1"/>
  <c r="X20" i="1"/>
  <c r="Z15" i="1"/>
  <c r="Y15" i="1"/>
  <c r="X15" i="1"/>
  <c r="Z14" i="1"/>
  <c r="Y14" i="1"/>
  <c r="X14" i="1"/>
  <c r="Z13" i="1"/>
  <c r="Y13" i="1"/>
  <c r="X13" i="1"/>
  <c r="Z12" i="1"/>
  <c r="Y12" i="1"/>
  <c r="X12" i="1"/>
  <c r="Z11" i="1"/>
  <c r="Y11" i="1"/>
  <c r="X11" i="1"/>
  <c r="X67" i="1"/>
  <c r="X65" i="1"/>
  <c r="X63" i="1"/>
  <c r="X61" i="1"/>
  <c r="Y67" i="1"/>
  <c r="Y65" i="1"/>
  <c r="Y63" i="1"/>
  <c r="Y64" i="1" s="1"/>
  <c r="Y61" i="1"/>
  <c r="C154" i="1"/>
  <c r="C165" i="1" s="1"/>
  <c r="C153" i="1"/>
  <c r="C163" i="1" s="1"/>
  <c r="C152" i="1"/>
  <c r="C161" i="1" s="1"/>
  <c r="C151" i="1"/>
  <c r="C159" i="1" s="1"/>
  <c r="D154" i="1"/>
  <c r="D165" i="1" s="1"/>
  <c r="D153" i="1"/>
  <c r="D163" i="1" s="1"/>
  <c r="D152" i="1"/>
  <c r="D161" i="1" s="1"/>
  <c r="D151" i="1"/>
  <c r="D159" i="1" s="1"/>
  <c r="D119" i="1"/>
  <c r="D130" i="1" s="1"/>
  <c r="C119" i="1"/>
  <c r="C130" i="1" s="1"/>
  <c r="C100" i="1"/>
  <c r="C129" i="1" s="1"/>
  <c r="C85" i="1"/>
  <c r="C128" i="1" s="1"/>
  <c r="C69" i="1"/>
  <c r="C127" i="1" s="1"/>
  <c r="D100" i="1"/>
  <c r="D129" i="1" s="1"/>
  <c r="D85" i="1"/>
  <c r="D128" i="1" s="1"/>
  <c r="D69" i="1"/>
  <c r="D127" i="1" s="1"/>
  <c r="E154" i="1"/>
  <c r="E165" i="1" s="1"/>
  <c r="E153" i="1"/>
  <c r="E163" i="1" s="1"/>
  <c r="E152" i="1"/>
  <c r="E161" i="1" s="1"/>
  <c r="E151" i="1"/>
  <c r="E159" i="1" s="1"/>
  <c r="F154" i="1"/>
  <c r="F165" i="1" s="1"/>
  <c r="F153" i="1"/>
  <c r="F163" i="1" s="1"/>
  <c r="F152" i="1"/>
  <c r="F161" i="1" s="1"/>
  <c r="F151" i="1"/>
  <c r="F159" i="1" s="1"/>
  <c r="E119" i="1"/>
  <c r="E130" i="1" s="1"/>
  <c r="E100" i="1"/>
  <c r="E129" i="1" s="1"/>
  <c r="E85" i="1"/>
  <c r="E128" i="1" s="1"/>
  <c r="E69" i="1"/>
  <c r="E127" i="1" s="1"/>
  <c r="F119" i="1"/>
  <c r="F130" i="1" s="1"/>
  <c r="F100" i="1"/>
  <c r="F129" i="1" s="1"/>
  <c r="F85" i="1"/>
  <c r="F128" i="1" s="1"/>
  <c r="F69" i="1"/>
  <c r="F127" i="1" s="1"/>
  <c r="G154" i="1"/>
  <c r="G165" i="1" s="1"/>
  <c r="G153" i="1"/>
  <c r="G163" i="1" s="1"/>
  <c r="G152" i="1"/>
  <c r="G161" i="1" s="1"/>
  <c r="G151" i="1"/>
  <c r="G159" i="1" s="1"/>
  <c r="H154" i="1"/>
  <c r="H165" i="1" s="1"/>
  <c r="H153" i="1"/>
  <c r="H163" i="1" s="1"/>
  <c r="H152" i="1"/>
  <c r="H161" i="1" s="1"/>
  <c r="H151" i="1"/>
  <c r="H159" i="1" s="1"/>
  <c r="I154" i="1"/>
  <c r="I165" i="1" s="1"/>
  <c r="I153" i="1"/>
  <c r="I163" i="1" s="1"/>
  <c r="I152" i="1"/>
  <c r="I161" i="1" s="1"/>
  <c r="I151" i="1"/>
  <c r="I159" i="1" s="1"/>
  <c r="J154" i="1"/>
  <c r="J165" i="1" s="1"/>
  <c r="J153" i="1"/>
  <c r="J163" i="1" s="1"/>
  <c r="J152" i="1"/>
  <c r="J161" i="1" s="1"/>
  <c r="J151" i="1"/>
  <c r="J159" i="1" s="1"/>
  <c r="G119" i="1"/>
  <c r="G130" i="1" s="1"/>
  <c r="G100" i="1"/>
  <c r="G129" i="1" s="1"/>
  <c r="G85" i="1"/>
  <c r="G128" i="1" s="1"/>
  <c r="G69" i="1"/>
  <c r="G127" i="1" s="1"/>
  <c r="H119" i="1"/>
  <c r="H130" i="1" s="1"/>
  <c r="H100" i="1"/>
  <c r="H129" i="1" s="1"/>
  <c r="H85" i="1"/>
  <c r="H128" i="1" s="1"/>
  <c r="H69" i="1"/>
  <c r="H127" i="1" s="1"/>
  <c r="I119" i="1"/>
  <c r="I130" i="1" s="1"/>
  <c r="I100" i="1"/>
  <c r="I129" i="1" s="1"/>
  <c r="I85" i="1"/>
  <c r="I128" i="1" s="1"/>
  <c r="I69" i="1"/>
  <c r="I127" i="1" s="1"/>
  <c r="I16" i="1"/>
  <c r="H16" i="1"/>
  <c r="G16" i="1"/>
  <c r="F16" i="1"/>
  <c r="E16" i="1"/>
  <c r="D16" i="1"/>
  <c r="C16" i="1"/>
  <c r="J16" i="1"/>
  <c r="J119" i="1"/>
  <c r="J130" i="1" s="1"/>
  <c r="J100" i="1"/>
  <c r="J129" i="1" s="1"/>
  <c r="J85" i="1"/>
  <c r="J128" i="1" s="1"/>
  <c r="J69" i="1"/>
  <c r="J127" i="1" s="1"/>
  <c r="D33" i="1"/>
  <c r="E33" i="1"/>
  <c r="F33" i="1"/>
  <c r="G33" i="1"/>
  <c r="H33" i="1"/>
  <c r="I33" i="1"/>
  <c r="J33" i="1"/>
  <c r="C33" i="1"/>
  <c r="Y62" i="1" l="1"/>
  <c r="X202" i="1"/>
  <c r="Y325" i="1"/>
  <c r="C34" i="28"/>
  <c r="Z327" i="1"/>
  <c r="J131" i="1"/>
  <c r="Z202" i="1"/>
  <c r="F131" i="1"/>
  <c r="F134" i="1" s="1"/>
  <c r="Y66" i="1"/>
  <c r="Y68" i="1"/>
  <c r="H323" i="1"/>
  <c r="P323" i="1"/>
  <c r="H131" i="1"/>
  <c r="H134" i="1" s="1"/>
  <c r="D131" i="1"/>
  <c r="AA202" i="1"/>
  <c r="S263" i="1"/>
  <c r="T263" i="1" s="1"/>
  <c r="U263" i="1" s="1"/>
  <c r="V263" i="1" s="1"/>
  <c r="R199" i="1"/>
  <c r="Y202" i="1"/>
  <c r="E131" i="1"/>
  <c r="I131" i="1"/>
  <c r="I134" i="1" s="1"/>
  <c r="G131" i="1"/>
  <c r="C131" i="1"/>
  <c r="C134" i="1" s="1"/>
  <c r="AA54" i="1"/>
  <c r="X333" i="1"/>
  <c r="Y298" i="1"/>
  <c r="K323" i="1"/>
  <c r="G169" i="1"/>
  <c r="AB28" i="1"/>
  <c r="Y311" i="1"/>
  <c r="E169" i="1"/>
  <c r="F169" i="1"/>
  <c r="H169" i="1"/>
  <c r="M323" i="1"/>
  <c r="D169" i="1"/>
  <c r="X311" i="1"/>
  <c r="Y268" i="1"/>
  <c r="X269" i="1"/>
  <c r="Y322" i="1"/>
  <c r="N323" i="1"/>
  <c r="G323" i="1"/>
  <c r="O323" i="1"/>
  <c r="Z258" i="1"/>
  <c r="Y333" i="1"/>
  <c r="X322" i="1"/>
  <c r="Z333" i="1"/>
  <c r="J337" i="1"/>
  <c r="J338" i="1"/>
  <c r="Z322" i="1"/>
  <c r="C42" i="28" s="1"/>
  <c r="I323" i="1"/>
  <c r="I337" i="1"/>
  <c r="I338" i="1"/>
  <c r="D300" i="1"/>
  <c r="E299" i="1" s="1"/>
  <c r="E300" i="1" s="1"/>
  <c r="F299" i="1" s="1"/>
  <c r="F300" i="1" s="1"/>
  <c r="G299" i="1" s="1"/>
  <c r="G300" i="1" s="1"/>
  <c r="H299" i="1" s="1"/>
  <c r="H300" i="1" s="1"/>
  <c r="I299" i="1" s="1"/>
  <c r="I300" i="1" s="1"/>
  <c r="J299" i="1" s="1"/>
  <c r="J300" i="1" s="1"/>
  <c r="K299" i="1" s="1"/>
  <c r="K300" i="1" s="1"/>
  <c r="L299" i="1" s="1"/>
  <c r="L300" i="1" s="1"/>
  <c r="M299" i="1" s="1"/>
  <c r="M300" i="1" s="1"/>
  <c r="N299" i="1" s="1"/>
  <c r="N300" i="1" s="1"/>
  <c r="Q323" i="1"/>
  <c r="J323" i="1"/>
  <c r="H337" i="1"/>
  <c r="H338" i="1"/>
  <c r="Y270" i="1"/>
  <c r="X271" i="1"/>
  <c r="Z274" i="1"/>
  <c r="G337" i="1"/>
  <c r="G338" i="1"/>
  <c r="Z269" i="1"/>
  <c r="Y273" i="1"/>
  <c r="X274" i="1"/>
  <c r="L323" i="1"/>
  <c r="AB284" i="1"/>
  <c r="R323" i="1"/>
  <c r="Y258" i="1"/>
  <c r="Y326" i="1" s="1"/>
  <c r="X268" i="1"/>
  <c r="X307" i="1"/>
  <c r="S322" i="1"/>
  <c r="S323" i="1" s="1"/>
  <c r="AA263" i="1"/>
  <c r="Y269" i="1"/>
  <c r="X270" i="1"/>
  <c r="Z273" i="1"/>
  <c r="X316" i="1"/>
  <c r="X317" i="1" s="1"/>
  <c r="X258" i="1"/>
  <c r="X326" i="1" s="1"/>
  <c r="Z268" i="1"/>
  <c r="Y272" i="1"/>
  <c r="X273" i="1"/>
  <c r="Y274" i="1"/>
  <c r="Y307" i="1"/>
  <c r="Z272" i="1"/>
  <c r="Z271" i="1"/>
  <c r="Y271" i="1"/>
  <c r="X272" i="1"/>
  <c r="Z270" i="1"/>
  <c r="X216" i="1"/>
  <c r="X223" i="1" s="1"/>
  <c r="Z298" i="1"/>
  <c r="Z233" i="1"/>
  <c r="Z239" i="1" s="1"/>
  <c r="X306" i="1"/>
  <c r="Z316" i="1"/>
  <c r="Y233" i="1"/>
  <c r="Y239" i="1" s="1"/>
  <c r="X186" i="1"/>
  <c r="X233" i="1"/>
  <c r="X239" i="1" s="1"/>
  <c r="F24" i="1"/>
  <c r="X24" i="1" s="1"/>
  <c r="Y186" i="1"/>
  <c r="Y216" i="1"/>
  <c r="Y223" i="1" s="1"/>
  <c r="X27" i="1"/>
  <c r="Y316" i="1"/>
  <c r="X298" i="1"/>
  <c r="Z216" i="1"/>
  <c r="Z223" i="1" s="1"/>
  <c r="Q24" i="1"/>
  <c r="Q36" i="1" s="1"/>
  <c r="Q74" i="1" s="1"/>
  <c r="M24" i="1"/>
  <c r="M36" i="1" s="1"/>
  <c r="M74" i="1" s="1"/>
  <c r="Y27" i="1"/>
  <c r="J24" i="1"/>
  <c r="Y24" i="1" s="1"/>
  <c r="AB24" i="1"/>
  <c r="Z27" i="1"/>
  <c r="AA28" i="1" s="1"/>
  <c r="AC27" i="1"/>
  <c r="AD27" i="1" s="1"/>
  <c r="AE27" i="1" s="1"/>
  <c r="AF27" i="1" s="1"/>
  <c r="AG27" i="1" s="1"/>
  <c r="R33" i="1"/>
  <c r="AA33" i="1" s="1"/>
  <c r="I169" i="1"/>
  <c r="C169" i="1"/>
  <c r="J169" i="1"/>
  <c r="Y166" i="1"/>
  <c r="X153" i="1"/>
  <c r="O298" i="1"/>
  <c r="O300" i="1" s="1"/>
  <c r="P299" i="1" s="1"/>
  <c r="Y153" i="1"/>
  <c r="X154" i="1"/>
  <c r="Y154" i="1"/>
  <c r="X151" i="1"/>
  <c r="X166" i="1"/>
  <c r="Y151" i="1"/>
  <c r="X152" i="1"/>
  <c r="Y152" i="1"/>
  <c r="AA48" i="1"/>
  <c r="J342" i="1"/>
  <c r="J341" i="1"/>
  <c r="L109" i="1"/>
  <c r="I342" i="1"/>
  <c r="P298" i="1"/>
  <c r="M109" i="1"/>
  <c r="I341" i="1"/>
  <c r="J109" i="1"/>
  <c r="I334" i="1"/>
  <c r="Q109" i="1"/>
  <c r="I109" i="1"/>
  <c r="P109" i="1"/>
  <c r="H109" i="1"/>
  <c r="Y108" i="1"/>
  <c r="N249" i="1"/>
  <c r="N251" i="1" s="1"/>
  <c r="N334" i="1"/>
  <c r="P334" i="1"/>
  <c r="N109" i="1"/>
  <c r="P249" i="1"/>
  <c r="P251" i="1" s="1"/>
  <c r="J334" i="1"/>
  <c r="G109" i="1"/>
  <c r="O109" i="1"/>
  <c r="H334" i="1"/>
  <c r="Z108" i="1"/>
  <c r="C334" i="1"/>
  <c r="O334" i="1"/>
  <c r="G334" i="1"/>
  <c r="X108" i="1"/>
  <c r="J251" i="1"/>
  <c r="F334" i="1"/>
  <c r="K109" i="1"/>
  <c r="M334" i="1"/>
  <c r="E334" i="1"/>
  <c r="L334" i="1"/>
  <c r="D334" i="1"/>
  <c r="H341" i="1"/>
  <c r="H342" i="1"/>
  <c r="G341" i="1"/>
  <c r="G342" i="1"/>
  <c r="C251" i="1"/>
  <c r="D251" i="1"/>
  <c r="E251" i="1"/>
  <c r="F251" i="1"/>
  <c r="G251" i="1"/>
  <c r="H251" i="1"/>
  <c r="I251" i="1"/>
  <c r="M251" i="1"/>
  <c r="L251" i="1"/>
  <c r="O251" i="1"/>
  <c r="O17" i="1"/>
  <c r="E5" i="10"/>
  <c r="D9" i="10"/>
  <c r="Z93" i="1"/>
  <c r="Z112" i="1"/>
  <c r="Y80" i="1"/>
  <c r="Z82" i="1"/>
  <c r="Y97" i="1"/>
  <c r="Y118" i="1"/>
  <c r="Y78" i="1"/>
  <c r="Z80" i="1"/>
  <c r="Y99" i="1"/>
  <c r="Z114" i="1"/>
  <c r="Z99" i="1"/>
  <c r="Y95" i="1"/>
  <c r="Y84" i="1"/>
  <c r="Z95" i="1"/>
  <c r="Y112" i="1"/>
  <c r="Z116" i="1"/>
  <c r="Y116" i="1"/>
  <c r="Z84" i="1"/>
  <c r="Y93" i="1"/>
  <c r="Z97" i="1"/>
  <c r="Z118" i="1"/>
  <c r="AA15" i="1"/>
  <c r="Y82" i="1"/>
  <c r="Y114" i="1"/>
  <c r="AB15" i="1"/>
  <c r="X56" i="1"/>
  <c r="J17" i="1"/>
  <c r="Q17" i="1"/>
  <c r="P17" i="1"/>
  <c r="Z56" i="1"/>
  <c r="C10" i="28" s="1"/>
  <c r="AB41" i="1"/>
  <c r="AC41" i="1" s="1"/>
  <c r="AD41" i="1" s="1"/>
  <c r="AE41" i="1" s="1"/>
  <c r="AF41" i="1" s="1"/>
  <c r="AG41" i="1" s="1"/>
  <c r="AB42" i="1"/>
  <c r="AC42" i="1" s="1"/>
  <c r="AD42" i="1" s="1"/>
  <c r="AE42" i="1" s="1"/>
  <c r="AF42" i="1" s="1"/>
  <c r="AG42" i="1" s="1"/>
  <c r="AA12" i="1"/>
  <c r="N17" i="1"/>
  <c r="AE49" i="1"/>
  <c r="AF49" i="1" s="1"/>
  <c r="AG49" i="1" s="1"/>
  <c r="H17" i="1"/>
  <c r="AA47" i="1"/>
  <c r="Y56" i="1"/>
  <c r="AB51" i="1"/>
  <c r="AC51" i="1" s="1"/>
  <c r="AD51" i="1" s="1"/>
  <c r="AE51" i="1" s="1"/>
  <c r="AF51" i="1" s="1"/>
  <c r="AB55" i="1"/>
  <c r="AC55" i="1" s="1"/>
  <c r="AD55" i="1" s="1"/>
  <c r="AE55" i="1" s="1"/>
  <c r="AF55" i="1" s="1"/>
  <c r="AG55" i="1" s="1"/>
  <c r="J7" i="10"/>
  <c r="J9" i="10" s="1"/>
  <c r="J13" i="10" s="1"/>
  <c r="F15" i="10"/>
  <c r="T44" i="1"/>
  <c r="U44" i="1" s="1"/>
  <c r="V44" i="1" s="1"/>
  <c r="AA41" i="1"/>
  <c r="AB43" i="1"/>
  <c r="AC43" i="1" s="1"/>
  <c r="AD43" i="1" s="1"/>
  <c r="AE43" i="1" s="1"/>
  <c r="AF43" i="1" s="1"/>
  <c r="AG43" i="1" s="1"/>
  <c r="U16" i="1"/>
  <c r="U36" i="1" s="1"/>
  <c r="V13" i="1"/>
  <c r="AB13" i="1" s="1"/>
  <c r="G17" i="1"/>
  <c r="M17" i="1"/>
  <c r="S45" i="1"/>
  <c r="R56" i="1"/>
  <c r="L17" i="1"/>
  <c r="AB47" i="1"/>
  <c r="AC47" i="1" s="1"/>
  <c r="AD47" i="1" s="1"/>
  <c r="AE47" i="1" s="1"/>
  <c r="AF47" i="1" s="1"/>
  <c r="AG47" i="1" s="1"/>
  <c r="I17" i="1"/>
  <c r="K17" i="1"/>
  <c r="AB48" i="1"/>
  <c r="AC48" i="1" s="1"/>
  <c r="AD48" i="1" s="1"/>
  <c r="AE48" i="1" s="1"/>
  <c r="AF48" i="1" s="1"/>
  <c r="AG48" i="1" s="1"/>
  <c r="AB54" i="1"/>
  <c r="AC54" i="1" s="1"/>
  <c r="AB52" i="1"/>
  <c r="AB11" i="1"/>
  <c r="S16" i="1"/>
  <c r="S36" i="1" s="1"/>
  <c r="V14" i="1"/>
  <c r="AB14" i="1" s="1"/>
  <c r="T16" i="1"/>
  <c r="T36" i="1" s="1"/>
  <c r="S46" i="1"/>
  <c r="S40" i="1"/>
  <c r="AB12" i="1"/>
  <c r="R16" i="1"/>
  <c r="D317" i="1"/>
  <c r="Y85" i="1"/>
  <c r="Y128" i="1" s="1"/>
  <c r="E317" i="1"/>
  <c r="F317" i="1"/>
  <c r="G317" i="1"/>
  <c r="H317" i="1"/>
  <c r="I317" i="1"/>
  <c r="J317" i="1"/>
  <c r="K317" i="1"/>
  <c r="L317" i="1"/>
  <c r="M317" i="1"/>
  <c r="N317" i="1"/>
  <c r="O317" i="1"/>
  <c r="P317" i="1"/>
  <c r="Q317" i="1"/>
  <c r="X85" i="1"/>
  <c r="X128" i="1" s="1"/>
  <c r="O36" i="1"/>
  <c r="O74" i="1" s="1"/>
  <c r="Z33" i="1"/>
  <c r="P36" i="1"/>
  <c r="P74" i="1" s="1"/>
  <c r="K36" i="1"/>
  <c r="K74" i="1" s="1"/>
  <c r="X69" i="1"/>
  <c r="X127" i="1" s="1"/>
  <c r="X16" i="1"/>
  <c r="X33" i="1"/>
  <c r="J88" i="1"/>
  <c r="Y16" i="1"/>
  <c r="Y33" i="1"/>
  <c r="L36" i="1"/>
  <c r="L74" i="1" s="1"/>
  <c r="D88" i="1"/>
  <c r="Z16" i="1"/>
  <c r="C88" i="1"/>
  <c r="I88" i="1"/>
  <c r="G88" i="1"/>
  <c r="E88" i="1"/>
  <c r="H88" i="1"/>
  <c r="F88" i="1"/>
  <c r="Y69" i="1"/>
  <c r="Y127" i="1" s="1"/>
  <c r="F122" i="1"/>
  <c r="H122" i="1"/>
  <c r="G36" i="1"/>
  <c r="I36" i="1"/>
  <c r="G122" i="1"/>
  <c r="E122" i="1"/>
  <c r="D122" i="1"/>
  <c r="I122" i="1"/>
  <c r="D36" i="1"/>
  <c r="C122" i="1"/>
  <c r="C172" i="1" s="1"/>
  <c r="E36" i="1"/>
  <c r="C36" i="1"/>
  <c r="J122" i="1"/>
  <c r="H36" i="1"/>
  <c r="AI27" i="1" l="1"/>
  <c r="S199" i="1"/>
  <c r="T199" i="1" s="1"/>
  <c r="U199" i="1" s="1"/>
  <c r="V199" i="1" s="1"/>
  <c r="Y167" i="1"/>
  <c r="P48" i="32"/>
  <c r="X167" i="1"/>
  <c r="O48" i="32"/>
  <c r="I89" i="1"/>
  <c r="J134" i="1"/>
  <c r="J137" i="1"/>
  <c r="I135" i="1"/>
  <c r="D134" i="1"/>
  <c r="E136" i="1"/>
  <c r="H137" i="1"/>
  <c r="J136" i="1"/>
  <c r="F135" i="1"/>
  <c r="G136" i="1"/>
  <c r="H89" i="1"/>
  <c r="C137" i="1"/>
  <c r="E135" i="1"/>
  <c r="J135" i="1"/>
  <c r="F137" i="1"/>
  <c r="C136" i="1"/>
  <c r="D137" i="1"/>
  <c r="D135" i="1"/>
  <c r="E134" i="1"/>
  <c r="E137" i="1"/>
  <c r="D136" i="1"/>
  <c r="F136" i="1"/>
  <c r="X159" i="1"/>
  <c r="O38" i="32"/>
  <c r="O52" i="32" s="1"/>
  <c r="X165" i="1"/>
  <c r="O41" i="32"/>
  <c r="O55" i="32" s="1"/>
  <c r="H136" i="1"/>
  <c r="H135" i="1"/>
  <c r="H167" i="1"/>
  <c r="H181" i="1"/>
  <c r="H182" i="1" s="1"/>
  <c r="Y165" i="1"/>
  <c r="P41" i="32"/>
  <c r="P55" i="32" s="1"/>
  <c r="F172" i="1"/>
  <c r="F181" i="1"/>
  <c r="F182" i="1" s="1"/>
  <c r="I172" i="1"/>
  <c r="I181" i="1"/>
  <c r="I182" i="1" s="1"/>
  <c r="Y163" i="1"/>
  <c r="P40" i="32"/>
  <c r="P54" i="32" s="1"/>
  <c r="C135" i="1"/>
  <c r="Y161" i="1"/>
  <c r="P39" i="32"/>
  <c r="P53" i="32" s="1"/>
  <c r="G134" i="1"/>
  <c r="X161" i="1"/>
  <c r="O39" i="32"/>
  <c r="O53" i="32" s="1"/>
  <c r="X163" i="1"/>
  <c r="O40" i="32"/>
  <c r="O54" i="32" s="1"/>
  <c r="AC24" i="1"/>
  <c r="AD24" i="1" s="1"/>
  <c r="AE24" i="1" s="1"/>
  <c r="AF24" i="1" s="1"/>
  <c r="AG24" i="1" s="1"/>
  <c r="E167" i="1"/>
  <c r="E181" i="1"/>
  <c r="E182" i="1" s="1"/>
  <c r="G172" i="1"/>
  <c r="G181" i="1"/>
  <c r="G182" i="1" s="1"/>
  <c r="Y159" i="1"/>
  <c r="P38" i="32"/>
  <c r="P52" i="32" s="1"/>
  <c r="G135" i="1"/>
  <c r="G137" i="1"/>
  <c r="I137" i="1"/>
  <c r="I136" i="1"/>
  <c r="D172" i="1"/>
  <c r="D181" i="1"/>
  <c r="D182" i="1" s="1"/>
  <c r="G89" i="1"/>
  <c r="J89" i="1"/>
  <c r="AD54" i="1"/>
  <c r="Y109" i="1"/>
  <c r="D167" i="1"/>
  <c r="Z109" i="1"/>
  <c r="Y323" i="1"/>
  <c r="I167" i="1"/>
  <c r="C326" i="1"/>
  <c r="Y193" i="1"/>
  <c r="Y196" i="1" s="1"/>
  <c r="Y187" i="1"/>
  <c r="J326" i="1"/>
  <c r="J172" i="1"/>
  <c r="H325" i="1"/>
  <c r="H172" i="1"/>
  <c r="J167" i="1"/>
  <c r="I326" i="1"/>
  <c r="G167" i="1"/>
  <c r="C167" i="1"/>
  <c r="E325" i="1"/>
  <c r="E172" i="1"/>
  <c r="X193" i="1"/>
  <c r="X196" i="1" s="1"/>
  <c r="X187" i="1"/>
  <c r="Z323" i="1"/>
  <c r="D326" i="1"/>
  <c r="F167" i="1"/>
  <c r="F5" i="10"/>
  <c r="G5" i="10" s="1"/>
  <c r="H5" i="10" s="1"/>
  <c r="E9" i="10"/>
  <c r="C186" i="1"/>
  <c r="C187" i="1" s="1"/>
  <c r="C325" i="1"/>
  <c r="G186" i="1"/>
  <c r="G187" i="1" s="1"/>
  <c r="G325" i="1"/>
  <c r="F186" i="1"/>
  <c r="F325" i="1"/>
  <c r="F326" i="1"/>
  <c r="Z249" i="1"/>
  <c r="Z251" i="1" s="1"/>
  <c r="Z334" i="1"/>
  <c r="E326" i="1"/>
  <c r="G326" i="1"/>
  <c r="I186" i="1"/>
  <c r="I187" i="1" s="1"/>
  <c r="I325" i="1"/>
  <c r="Y249" i="1"/>
  <c r="Y251" i="1" s="1"/>
  <c r="Y334" i="1"/>
  <c r="H326" i="1"/>
  <c r="J36" i="1"/>
  <c r="J72" i="1" s="1"/>
  <c r="D186" i="1"/>
  <c r="D187" i="1" s="1"/>
  <c r="D325" i="1"/>
  <c r="J186" i="1"/>
  <c r="J325" i="1"/>
  <c r="X249" i="1"/>
  <c r="X251" i="1" s="1"/>
  <c r="X334" i="1"/>
  <c r="T322" i="1"/>
  <c r="T323" i="1" s="1"/>
  <c r="F36" i="1"/>
  <c r="F72" i="1" s="1"/>
  <c r="Y28" i="1"/>
  <c r="Z317" i="1"/>
  <c r="G345" i="1"/>
  <c r="X300" i="1"/>
  <c r="Y299" i="1" s="1"/>
  <c r="Y300" i="1" s="1"/>
  <c r="Z299" i="1" s="1"/>
  <c r="Z300" i="1" s="1"/>
  <c r="AA299" i="1" s="1"/>
  <c r="H345" i="1"/>
  <c r="H186" i="1"/>
  <c r="E345" i="1"/>
  <c r="E186" i="1"/>
  <c r="AB263" i="1"/>
  <c r="AC263" i="1" s="1"/>
  <c r="AD263" i="1" s="1"/>
  <c r="AE263" i="1" s="1"/>
  <c r="AF263" i="1" s="1"/>
  <c r="AG263" i="1" s="1"/>
  <c r="Y317" i="1"/>
  <c r="C312" i="1"/>
  <c r="C313" i="1"/>
  <c r="C314" i="1"/>
  <c r="I312" i="1"/>
  <c r="I313" i="1"/>
  <c r="I314" i="1"/>
  <c r="F170" i="1"/>
  <c r="F313" i="1"/>
  <c r="F314" i="1"/>
  <c r="F345" i="1"/>
  <c r="F312" i="1"/>
  <c r="I345" i="1"/>
  <c r="N24" i="1"/>
  <c r="N36" i="1" s="1"/>
  <c r="N74" i="1" s="1"/>
  <c r="R24" i="1"/>
  <c r="AA24" i="1" s="1"/>
  <c r="D170" i="1"/>
  <c r="D312" i="1"/>
  <c r="D313" i="1"/>
  <c r="D314" i="1"/>
  <c r="Z28" i="1"/>
  <c r="H170" i="1"/>
  <c r="H312" i="1"/>
  <c r="H313" i="1"/>
  <c r="H314" i="1"/>
  <c r="J312" i="1"/>
  <c r="J313" i="1"/>
  <c r="J314" i="1"/>
  <c r="E170" i="1"/>
  <c r="E314" i="1"/>
  <c r="E312" i="1"/>
  <c r="E313" i="1"/>
  <c r="J345" i="1"/>
  <c r="G170" i="1"/>
  <c r="G312" i="1"/>
  <c r="G313" i="1"/>
  <c r="G314" i="1"/>
  <c r="C345" i="1"/>
  <c r="I170" i="1"/>
  <c r="Y169" i="1"/>
  <c r="Y170" i="1" s="1"/>
  <c r="AB33" i="1"/>
  <c r="AC33" i="1" s="1"/>
  <c r="AD33" i="1" s="1"/>
  <c r="AE33" i="1" s="1"/>
  <c r="AF33" i="1" s="1"/>
  <c r="AG33" i="1" s="1"/>
  <c r="AI33" i="1" s="1"/>
  <c r="V33" i="1"/>
  <c r="X169" i="1"/>
  <c r="X170" i="1" s="1"/>
  <c r="C170" i="1"/>
  <c r="J170" i="1"/>
  <c r="G177" i="1"/>
  <c r="G175" i="1"/>
  <c r="G179" i="1"/>
  <c r="C179" i="1"/>
  <c r="C175" i="1"/>
  <c r="C177" i="1"/>
  <c r="H177" i="1"/>
  <c r="H179" i="1"/>
  <c r="H175" i="1"/>
  <c r="I177" i="1"/>
  <c r="I179" i="1"/>
  <c r="I175" i="1"/>
  <c r="F175" i="1"/>
  <c r="F177" i="1"/>
  <c r="F179" i="1"/>
  <c r="D175" i="1"/>
  <c r="D177" i="1"/>
  <c r="D179" i="1"/>
  <c r="J177" i="1"/>
  <c r="J179" i="1"/>
  <c r="J175" i="1"/>
  <c r="E175" i="1"/>
  <c r="E177" i="1"/>
  <c r="E179" i="1"/>
  <c r="J181" i="1"/>
  <c r="J182" i="1" s="1"/>
  <c r="C181" i="1"/>
  <c r="C182" i="1" s="1"/>
  <c r="C72" i="1"/>
  <c r="C74" i="1"/>
  <c r="E72" i="1"/>
  <c r="E74" i="1"/>
  <c r="G72" i="1"/>
  <c r="G74" i="1"/>
  <c r="I72" i="1"/>
  <c r="I74" i="1"/>
  <c r="D72" i="1"/>
  <c r="D74" i="1"/>
  <c r="H72" i="1"/>
  <c r="H74" i="1"/>
  <c r="D13" i="10"/>
  <c r="D17" i="10" s="1"/>
  <c r="E13" i="10"/>
  <c r="E17" i="10" s="1"/>
  <c r="AA16" i="1"/>
  <c r="AB16" i="1" s="1"/>
  <c r="AC16" i="1" s="1"/>
  <c r="AD16" i="1" s="1"/>
  <c r="AE16" i="1" s="1"/>
  <c r="AF16" i="1" s="1"/>
  <c r="AG16" i="1" s="1"/>
  <c r="AI16" i="1" s="1"/>
  <c r="G123" i="1"/>
  <c r="I123" i="1"/>
  <c r="AA56" i="1"/>
  <c r="D10" i="28" s="1"/>
  <c r="H123" i="1"/>
  <c r="J123" i="1"/>
  <c r="G15" i="10"/>
  <c r="T40" i="1"/>
  <c r="V16" i="1"/>
  <c r="S56" i="1"/>
  <c r="T46" i="1"/>
  <c r="U46" i="1" s="1"/>
  <c r="V46" i="1" s="1"/>
  <c r="Z17" i="1"/>
  <c r="AB44" i="1"/>
  <c r="AC44" i="1" s="1"/>
  <c r="AD44" i="1" s="1"/>
  <c r="AE44" i="1" s="1"/>
  <c r="AF44" i="1" s="1"/>
  <c r="AG44" i="1" s="1"/>
  <c r="T45" i="1"/>
  <c r="U45" i="1" s="1"/>
  <c r="V45" i="1" s="1"/>
  <c r="AB45" i="1" s="1"/>
  <c r="AC45" i="1" s="1"/>
  <c r="AD45" i="1" s="1"/>
  <c r="AE45" i="1" s="1"/>
  <c r="AF45" i="1" s="1"/>
  <c r="AG45" i="1" s="1"/>
  <c r="AG51" i="1"/>
  <c r="Y17" i="1"/>
  <c r="X88" i="1"/>
  <c r="I308" i="1"/>
  <c r="I306" i="1"/>
  <c r="F308" i="1"/>
  <c r="F306" i="1"/>
  <c r="D306" i="1"/>
  <c r="D308" i="1"/>
  <c r="J308" i="1"/>
  <c r="J306" i="1"/>
  <c r="E306" i="1"/>
  <c r="E308" i="1"/>
  <c r="Y88" i="1"/>
  <c r="G308" i="1"/>
  <c r="G306" i="1"/>
  <c r="H308" i="1"/>
  <c r="H306" i="1"/>
  <c r="C306" i="1"/>
  <c r="C308" i="1"/>
  <c r="Y36" i="1"/>
  <c r="X36" i="1"/>
  <c r="Y157" i="1" l="1"/>
  <c r="F9" i="10"/>
  <c r="F13" i="10" s="1"/>
  <c r="F17" i="10" s="1"/>
  <c r="G9" i="10"/>
  <c r="G13" i="10" s="1"/>
  <c r="G17" i="10" s="1"/>
  <c r="O42" i="32"/>
  <c r="C193" i="1"/>
  <c r="C198" i="1" s="1"/>
  <c r="P42" i="32"/>
  <c r="J74" i="1"/>
  <c r="AE54" i="1"/>
  <c r="I193" i="1"/>
  <c r="I198" i="1" s="1"/>
  <c r="I203" i="1" s="1"/>
  <c r="I321" i="1" s="1"/>
  <c r="Y198" i="1"/>
  <c r="Y200" i="1" s="1"/>
  <c r="X72" i="1"/>
  <c r="C8" i="28" s="1"/>
  <c r="X74" i="1"/>
  <c r="Y72" i="1"/>
  <c r="Y74" i="1"/>
  <c r="G193" i="1"/>
  <c r="F193" i="1"/>
  <c r="F198" i="1" s="1"/>
  <c r="F256" i="1" s="1"/>
  <c r="F187" i="1"/>
  <c r="J193" i="1"/>
  <c r="J196" i="1" s="1"/>
  <c r="J187" i="1"/>
  <c r="E193" i="1"/>
  <c r="E196" i="1" s="1"/>
  <c r="E187" i="1"/>
  <c r="H193" i="1"/>
  <c r="H198" i="1" s="1"/>
  <c r="H256" i="1" s="1"/>
  <c r="H187" i="1"/>
  <c r="D193" i="1"/>
  <c r="D198" i="1" s="1"/>
  <c r="D256" i="1" s="1"/>
  <c r="F74" i="1"/>
  <c r="U322" i="1"/>
  <c r="U323" i="1" s="1"/>
  <c r="V36" i="1"/>
  <c r="R36" i="1"/>
  <c r="AA36" i="1"/>
  <c r="D7" i="28" s="1"/>
  <c r="Z24" i="1"/>
  <c r="Z36" i="1" s="1"/>
  <c r="C7" i="28" s="1"/>
  <c r="Y171" i="1"/>
  <c r="X171" i="1"/>
  <c r="X198" i="1"/>
  <c r="X200" i="1" s="1"/>
  <c r="AA17" i="1"/>
  <c r="I5" i="10"/>
  <c r="I9" i="10" s="1"/>
  <c r="I13" i="10" s="1"/>
  <c r="H9" i="10"/>
  <c r="H13" i="10" s="1"/>
  <c r="AB46" i="1"/>
  <c r="AC46" i="1" s="1"/>
  <c r="AD46" i="1" s="1"/>
  <c r="AE46" i="1" s="1"/>
  <c r="AF46" i="1" s="1"/>
  <c r="AG46" i="1" s="1"/>
  <c r="AB36" i="1"/>
  <c r="E7" i="28" s="1"/>
  <c r="H15" i="10"/>
  <c r="U40" i="1"/>
  <c r="T56" i="1"/>
  <c r="Y89" i="1"/>
  <c r="AI24" i="1" l="1"/>
  <c r="D8" i="28"/>
  <c r="Y73" i="1"/>
  <c r="C196" i="1"/>
  <c r="Y172" i="1"/>
  <c r="P49" i="32"/>
  <c r="P56" i="32" s="1"/>
  <c r="Y341" i="1"/>
  <c r="Y342" i="1"/>
  <c r="X172" i="1"/>
  <c r="O49" i="32"/>
  <c r="O56" i="32" s="1"/>
  <c r="X341" i="1"/>
  <c r="X342" i="1"/>
  <c r="Y203" i="1"/>
  <c r="Y204" i="1" s="1"/>
  <c r="I204" i="1"/>
  <c r="I196" i="1"/>
  <c r="I200" i="1"/>
  <c r="I256" i="1"/>
  <c r="AF54" i="1"/>
  <c r="D196" i="1"/>
  <c r="F196" i="1"/>
  <c r="J198" i="1"/>
  <c r="J256" i="1" s="1"/>
  <c r="D203" i="1"/>
  <c r="D321" i="1" s="1"/>
  <c r="H196" i="1"/>
  <c r="F203" i="1"/>
  <c r="F321" i="1" s="1"/>
  <c r="D200" i="1"/>
  <c r="F200" i="1"/>
  <c r="G198" i="1"/>
  <c r="G196" i="1"/>
  <c r="E198" i="1"/>
  <c r="E256" i="1" s="1"/>
  <c r="H17" i="10"/>
  <c r="X337" i="1"/>
  <c r="Y344" i="1"/>
  <c r="Y345" i="1" s="1"/>
  <c r="Y338" i="1"/>
  <c r="Y337" i="1"/>
  <c r="V322" i="1"/>
  <c r="H200" i="1"/>
  <c r="X203" i="1"/>
  <c r="H203" i="1"/>
  <c r="C200" i="1"/>
  <c r="C256" i="1"/>
  <c r="C203" i="1"/>
  <c r="I15" i="10"/>
  <c r="I17" i="10" s="1"/>
  <c r="V40" i="1"/>
  <c r="V56" i="1" s="1"/>
  <c r="U56" i="1"/>
  <c r="D204" i="1" l="1"/>
  <c r="Y321" i="1"/>
  <c r="J200" i="1"/>
  <c r="J203" i="1"/>
  <c r="J321" i="1" s="1"/>
  <c r="F204" i="1"/>
  <c r="AG54" i="1"/>
  <c r="E200" i="1"/>
  <c r="X256" i="1"/>
  <c r="G200" i="1"/>
  <c r="G203" i="1"/>
  <c r="G256" i="1"/>
  <c r="Y256" i="1" s="1"/>
  <c r="E203" i="1"/>
  <c r="E204" i="1" s="1"/>
  <c r="V323" i="1"/>
  <c r="X204" i="1"/>
  <c r="X321" i="1"/>
  <c r="C204" i="1"/>
  <c r="C321" i="1"/>
  <c r="H204" i="1"/>
  <c r="H321" i="1"/>
  <c r="AB40" i="1"/>
  <c r="AC40" i="1" s="1"/>
  <c r="J15" i="10"/>
  <c r="J204" i="1" l="1"/>
  <c r="G204" i="1"/>
  <c r="G321" i="1"/>
  <c r="E321" i="1"/>
  <c r="J17" i="10"/>
  <c r="AB56" i="1"/>
  <c r="E10" i="28" s="1"/>
  <c r="AD40" i="1"/>
  <c r="AC56" i="1"/>
  <c r="F10" i="28" s="1"/>
  <c r="AE40" i="1" l="1"/>
  <c r="AD56" i="1"/>
  <c r="G10" i="28" s="1"/>
  <c r="AE56" i="1" l="1"/>
  <c r="H10" i="28" s="1"/>
  <c r="AF40" i="1"/>
  <c r="AG40" i="1" l="1"/>
  <c r="AG56" i="1" s="1"/>
  <c r="AF56" i="1"/>
  <c r="I10" i="28" s="1"/>
  <c r="J10" i="28" l="1"/>
  <c r="AI56" i="1"/>
  <c r="Z176" i="1"/>
  <c r="Y181" i="1"/>
  <c r="Y182" i="1" s="1"/>
  <c r="X181" i="1"/>
  <c r="X182" i="1" s="1"/>
  <c r="Z178" i="1"/>
  <c r="Z185" i="1" s="1"/>
  <c r="Z174" i="1"/>
  <c r="Z311" i="1" s="1"/>
  <c r="Z307" i="1" l="1"/>
  <c r="G10" i="5"/>
  <c r="M15" i="5"/>
  <c r="M25" i="5" s="1"/>
  <c r="H17" i="5"/>
  <c r="G17" i="5"/>
  <c r="F17" i="5"/>
  <c r="H16" i="5"/>
  <c r="G16" i="5"/>
  <c r="F16" i="5"/>
  <c r="I14" i="5"/>
  <c r="J14" i="5"/>
  <c r="I15" i="5"/>
  <c r="J15" i="5"/>
  <c r="I27" i="5"/>
  <c r="J27" i="5"/>
  <c r="H10" i="5"/>
  <c r="D29" i="3"/>
  <c r="N18" i="4"/>
  <c r="N19" i="4" s="1"/>
  <c r="G41" i="5" l="1"/>
  <c r="G40" i="5"/>
  <c r="H41" i="5"/>
  <c r="H40" i="5"/>
  <c r="I17" i="5"/>
  <c r="J16" i="5"/>
  <c r="J17" i="5"/>
  <c r="M28" i="5"/>
  <c r="M27" i="5"/>
  <c r="K27" i="5" s="1"/>
  <c r="M26" i="5"/>
  <c r="I16" i="5"/>
  <c r="K15" i="5"/>
  <c r="K14" i="5"/>
  <c r="K17" i="5" l="1"/>
  <c r="K16" i="5"/>
  <c r="AB185" i="1"/>
  <c r="Z164" i="1"/>
  <c r="Z162" i="1"/>
  <c r="Z160" i="1"/>
  <c r="Z158" i="1"/>
  <c r="Z77" i="1"/>
  <c r="Z78" i="1" s="1"/>
  <c r="Z67" i="1"/>
  <c r="Z65" i="1"/>
  <c r="Z66" i="1" s="1"/>
  <c r="Z63" i="1"/>
  <c r="Z64" i="1" s="1"/>
  <c r="Z61" i="1"/>
  <c r="R247" i="1"/>
  <c r="R245" i="1"/>
  <c r="R244" i="1"/>
  <c r="R243" i="1"/>
  <c r="R238" i="1"/>
  <c r="R237" i="1"/>
  <c r="R236" i="1"/>
  <c r="AA236" i="1" s="1"/>
  <c r="R235" i="1"/>
  <c r="AA235" i="1" s="1"/>
  <c r="Q233" i="1"/>
  <c r="Q239" i="1" s="1"/>
  <c r="Q216" i="1"/>
  <c r="Q223" i="1" s="1"/>
  <c r="R230" i="1"/>
  <c r="AA230" i="1" s="1"/>
  <c r="R222" i="1"/>
  <c r="R221" i="1"/>
  <c r="R220" i="1"/>
  <c r="R219" i="1"/>
  <c r="R213" i="1"/>
  <c r="AA213" i="1" s="1"/>
  <c r="R118" i="1"/>
  <c r="R117" i="1" s="1"/>
  <c r="AA117" i="1" s="1"/>
  <c r="Q68" i="1"/>
  <c r="P68" i="1"/>
  <c r="O68" i="1"/>
  <c r="Q66" i="1"/>
  <c r="P66" i="1"/>
  <c r="O66" i="1"/>
  <c r="Q64" i="1"/>
  <c r="P64" i="1"/>
  <c r="O64" i="1"/>
  <c r="P62" i="1"/>
  <c r="Q62" i="1"/>
  <c r="O62" i="1"/>
  <c r="Q119" i="1"/>
  <c r="Q130" i="1" s="1"/>
  <c r="P119" i="1"/>
  <c r="P130" i="1" s="1"/>
  <c r="O119" i="1"/>
  <c r="O130" i="1" s="1"/>
  <c r="N119" i="1"/>
  <c r="N130" i="1" s="1"/>
  <c r="M119" i="1"/>
  <c r="M130" i="1" s="1"/>
  <c r="L119" i="1"/>
  <c r="L130" i="1" s="1"/>
  <c r="K119" i="1"/>
  <c r="K130" i="1" s="1"/>
  <c r="Q100" i="1"/>
  <c r="Q129" i="1" s="1"/>
  <c r="P100" i="1"/>
  <c r="P129" i="1" s="1"/>
  <c r="O100" i="1"/>
  <c r="O129" i="1" s="1"/>
  <c r="N100" i="1"/>
  <c r="N129" i="1" s="1"/>
  <c r="M100" i="1"/>
  <c r="M129" i="1" s="1"/>
  <c r="L100" i="1"/>
  <c r="L129" i="1" s="1"/>
  <c r="K100" i="1"/>
  <c r="K129" i="1" s="1"/>
  <c r="Q85" i="1"/>
  <c r="P85" i="1"/>
  <c r="O85" i="1"/>
  <c r="N85" i="1"/>
  <c r="M85" i="1"/>
  <c r="L85" i="1"/>
  <c r="K85" i="1"/>
  <c r="L69" i="1"/>
  <c r="L127" i="1" s="1"/>
  <c r="M69" i="1"/>
  <c r="M127" i="1" s="1"/>
  <c r="N69" i="1"/>
  <c r="N127" i="1" s="1"/>
  <c r="O69" i="1"/>
  <c r="O127" i="1" s="1"/>
  <c r="P69" i="1"/>
  <c r="P127" i="1" s="1"/>
  <c r="Q69" i="1"/>
  <c r="Q127" i="1" s="1"/>
  <c r="K69" i="1"/>
  <c r="K127" i="1" s="1"/>
  <c r="L166" i="1"/>
  <c r="M166" i="1"/>
  <c r="N166" i="1"/>
  <c r="O166" i="1"/>
  <c r="D48" i="32" s="1"/>
  <c r="P166" i="1"/>
  <c r="E48" i="32" s="1"/>
  <c r="Q166" i="1"/>
  <c r="F48" i="32" s="1"/>
  <c r="K166" i="1"/>
  <c r="Y3" i="1"/>
  <c r="Q248" i="1"/>
  <c r="Q333" i="1" s="1"/>
  <c r="Q295" i="1"/>
  <c r="Q289" i="1"/>
  <c r="Q277" i="1"/>
  <c r="R191" i="1"/>
  <c r="K233" i="1"/>
  <c r="K239" i="1" s="1"/>
  <c r="P154" i="1"/>
  <c r="E41" i="32" s="1"/>
  <c r="E55" i="32" s="1"/>
  <c r="O154" i="1"/>
  <c r="D41" i="32" s="1"/>
  <c r="D55" i="32" s="1"/>
  <c r="N154" i="1"/>
  <c r="N165" i="1" s="1"/>
  <c r="M154" i="1"/>
  <c r="M165" i="1" s="1"/>
  <c r="L154" i="1"/>
  <c r="L165" i="1" s="1"/>
  <c r="K154" i="1"/>
  <c r="P153" i="1"/>
  <c r="E40" i="32" s="1"/>
  <c r="E54" i="32" s="1"/>
  <c r="O153" i="1"/>
  <c r="D40" i="32" s="1"/>
  <c r="D54" i="32" s="1"/>
  <c r="N153" i="1"/>
  <c r="N163" i="1" s="1"/>
  <c r="M153" i="1"/>
  <c r="L153" i="1"/>
  <c r="L163" i="1" s="1"/>
  <c r="K153" i="1"/>
  <c r="K163" i="1" s="1"/>
  <c r="P152" i="1"/>
  <c r="E39" i="32" s="1"/>
  <c r="E53" i="32" s="1"/>
  <c r="O152" i="1"/>
  <c r="D39" i="32" s="1"/>
  <c r="D53" i="32" s="1"/>
  <c r="N152" i="1"/>
  <c r="N161" i="1" s="1"/>
  <c r="M152" i="1"/>
  <c r="M161" i="1" s="1"/>
  <c r="L152" i="1"/>
  <c r="L161" i="1" s="1"/>
  <c r="K152" i="1"/>
  <c r="K161" i="1" s="1"/>
  <c r="P151" i="1"/>
  <c r="E38" i="32" s="1"/>
  <c r="E52" i="32" s="1"/>
  <c r="O151" i="1"/>
  <c r="D38" i="32" s="1"/>
  <c r="D52" i="32" s="1"/>
  <c r="N151" i="1"/>
  <c r="N159" i="1" s="1"/>
  <c r="M151" i="1"/>
  <c r="M159" i="1" s="1"/>
  <c r="L151" i="1"/>
  <c r="L159" i="1" s="1"/>
  <c r="K151" i="1"/>
  <c r="Q152" i="1"/>
  <c r="F39" i="32" s="1"/>
  <c r="Q153" i="1"/>
  <c r="F40" i="32" s="1"/>
  <c r="Q154" i="1"/>
  <c r="F41" i="32" s="1"/>
  <c r="Q151" i="1"/>
  <c r="F38" i="32" s="1"/>
  <c r="H30" i="5"/>
  <c r="G30" i="5"/>
  <c r="F30" i="5"/>
  <c r="H29" i="5"/>
  <c r="G29" i="5"/>
  <c r="F29" i="5"/>
  <c r="J28" i="5"/>
  <c r="I28" i="5"/>
  <c r="J26" i="5"/>
  <c r="I26" i="5"/>
  <c r="K26" i="5" s="1"/>
  <c r="J25" i="5"/>
  <c r="I25" i="5"/>
  <c r="H18" i="4"/>
  <c r="G17" i="4"/>
  <c r="G19" i="4" s="1"/>
  <c r="H12" i="4"/>
  <c r="G82" i="3"/>
  <c r="C82" i="3"/>
  <c r="C83" i="3" s="1"/>
  <c r="G81" i="3"/>
  <c r="E81" i="3"/>
  <c r="D80" i="3"/>
  <c r="C80" i="3"/>
  <c r="C79" i="3" s="1"/>
  <c r="G78" i="3"/>
  <c r="H78" i="3" s="1"/>
  <c r="E78" i="3"/>
  <c r="D78" i="3" s="1"/>
  <c r="C72" i="3"/>
  <c r="C73" i="3" s="1"/>
  <c r="C70" i="3"/>
  <c r="C69" i="3" s="1"/>
  <c r="G68" i="3"/>
  <c r="H68" i="3" s="1"/>
  <c r="E68" i="3"/>
  <c r="D68" i="3" s="1"/>
  <c r="H83" i="3"/>
  <c r="D36" i="3"/>
  <c r="D35" i="3"/>
  <c r="D14" i="3"/>
  <c r="E14" i="3" s="1"/>
  <c r="F14" i="3" s="1"/>
  <c r="G14" i="3" s="1"/>
  <c r="H14" i="3" s="1"/>
  <c r="I14" i="3" s="1"/>
  <c r="F54" i="32" l="1"/>
  <c r="G131" i="32"/>
  <c r="G141" i="32"/>
  <c r="G136" i="32"/>
  <c r="G126" i="32"/>
  <c r="F53" i="32"/>
  <c r="G140" i="32"/>
  <c r="G135" i="32"/>
  <c r="G130" i="32"/>
  <c r="G125" i="32"/>
  <c r="F55" i="32"/>
  <c r="G137" i="32"/>
  <c r="G127" i="32"/>
  <c r="G142" i="32"/>
  <c r="G132" i="32"/>
  <c r="F52" i="32"/>
  <c r="G134" i="32"/>
  <c r="G124" i="32"/>
  <c r="G129" i="32"/>
  <c r="G139" i="32"/>
  <c r="Q44" i="32"/>
  <c r="C25" i="28"/>
  <c r="Q45" i="32"/>
  <c r="C26" i="28"/>
  <c r="Z74" i="1"/>
  <c r="Z62" i="1"/>
  <c r="Q46" i="32"/>
  <c r="C27" i="28"/>
  <c r="Q47" i="32"/>
  <c r="C28" i="28"/>
  <c r="F42" i="32"/>
  <c r="F56" i="32" s="1"/>
  <c r="D42" i="32"/>
  <c r="D56" i="32" s="1"/>
  <c r="E42" i="32"/>
  <c r="E56" i="32" s="1"/>
  <c r="Z68" i="1"/>
  <c r="K28" i="5"/>
  <c r="M88" i="1"/>
  <c r="M128" i="1"/>
  <c r="M131" i="1" s="1"/>
  <c r="N88" i="1"/>
  <c r="N89" i="1" s="1"/>
  <c r="N128" i="1"/>
  <c r="N131" i="1" s="1"/>
  <c r="O88" i="1"/>
  <c r="O128" i="1"/>
  <c r="P88" i="1"/>
  <c r="P128" i="1"/>
  <c r="P131" i="1" s="1"/>
  <c r="Q88" i="1"/>
  <c r="Q128" i="1"/>
  <c r="L88" i="1"/>
  <c r="L128" i="1"/>
  <c r="K88" i="1"/>
  <c r="K128" i="1"/>
  <c r="K131" i="1" s="1"/>
  <c r="P72" i="1"/>
  <c r="N72" i="1"/>
  <c r="L72" i="1"/>
  <c r="K72" i="1"/>
  <c r="O72" i="1"/>
  <c r="M72" i="1"/>
  <c r="P169" i="1"/>
  <c r="O169" i="1"/>
  <c r="N169" i="1"/>
  <c r="Q338" i="1"/>
  <c r="Q337" i="1"/>
  <c r="Q169" i="1"/>
  <c r="M169" i="1"/>
  <c r="P338" i="1"/>
  <c r="P337" i="1"/>
  <c r="K169" i="1"/>
  <c r="N338" i="1"/>
  <c r="N337" i="1"/>
  <c r="M337" i="1"/>
  <c r="M338" i="1"/>
  <c r="L338" i="1"/>
  <c r="K337" i="1"/>
  <c r="L337" i="1"/>
  <c r="K338" i="1"/>
  <c r="L169" i="1"/>
  <c r="O338" i="1"/>
  <c r="O337" i="1"/>
  <c r="S245" i="1"/>
  <c r="T245" i="1" s="1"/>
  <c r="U245" i="1" s="1"/>
  <c r="V245" i="1" s="1"/>
  <c r="AB245" i="1" s="1"/>
  <c r="AC245" i="1" s="1"/>
  <c r="AD245" i="1" s="1"/>
  <c r="AE245" i="1" s="1"/>
  <c r="AF245" i="1" s="1"/>
  <c r="AG245" i="1" s="1"/>
  <c r="AA245" i="1"/>
  <c r="S244" i="1"/>
  <c r="T244" i="1" s="1"/>
  <c r="U244" i="1" s="1"/>
  <c r="V244" i="1" s="1"/>
  <c r="AB244" i="1" s="1"/>
  <c r="AC244" i="1" s="1"/>
  <c r="AD244" i="1" s="1"/>
  <c r="AE244" i="1" s="1"/>
  <c r="AF244" i="1" s="1"/>
  <c r="AG244" i="1" s="1"/>
  <c r="AA244" i="1"/>
  <c r="S247" i="1"/>
  <c r="T247" i="1" s="1"/>
  <c r="U247" i="1" s="1"/>
  <c r="V247" i="1" s="1"/>
  <c r="AB247" i="1" s="1"/>
  <c r="AC247" i="1" s="1"/>
  <c r="AD247" i="1" s="1"/>
  <c r="AE247" i="1" s="1"/>
  <c r="AF247" i="1" s="1"/>
  <c r="AG247" i="1" s="1"/>
  <c r="AA247" i="1"/>
  <c r="S219" i="1"/>
  <c r="T219" i="1" s="1"/>
  <c r="U219" i="1" s="1"/>
  <c r="V219" i="1" s="1"/>
  <c r="AB219" i="1" s="1"/>
  <c r="AC219" i="1" s="1"/>
  <c r="AD219" i="1" s="1"/>
  <c r="AE219" i="1" s="1"/>
  <c r="AF219" i="1" s="1"/>
  <c r="AG219" i="1" s="1"/>
  <c r="AA219" i="1"/>
  <c r="S220" i="1"/>
  <c r="T220" i="1" s="1"/>
  <c r="U220" i="1" s="1"/>
  <c r="V220" i="1" s="1"/>
  <c r="AB220" i="1" s="1"/>
  <c r="AC220" i="1" s="1"/>
  <c r="AD220" i="1" s="1"/>
  <c r="AE220" i="1" s="1"/>
  <c r="AF220" i="1" s="1"/>
  <c r="AG220" i="1" s="1"/>
  <c r="AA220" i="1"/>
  <c r="S237" i="1"/>
  <c r="T237" i="1" s="1"/>
  <c r="U237" i="1" s="1"/>
  <c r="V237" i="1" s="1"/>
  <c r="AB237" i="1" s="1"/>
  <c r="AC237" i="1" s="1"/>
  <c r="AD237" i="1" s="1"/>
  <c r="AE237" i="1" s="1"/>
  <c r="AF237" i="1" s="1"/>
  <c r="AG237" i="1" s="1"/>
  <c r="AA237" i="1"/>
  <c r="S221" i="1"/>
  <c r="T221" i="1" s="1"/>
  <c r="U221" i="1" s="1"/>
  <c r="V221" i="1" s="1"/>
  <c r="AB221" i="1" s="1"/>
  <c r="AC221" i="1" s="1"/>
  <c r="AD221" i="1" s="1"/>
  <c r="AE221" i="1" s="1"/>
  <c r="AF221" i="1" s="1"/>
  <c r="AG221" i="1" s="1"/>
  <c r="AA221" i="1"/>
  <c r="S238" i="1"/>
  <c r="T238" i="1" s="1"/>
  <c r="U238" i="1" s="1"/>
  <c r="V238" i="1" s="1"/>
  <c r="AB238" i="1" s="1"/>
  <c r="AC238" i="1" s="1"/>
  <c r="AD238" i="1" s="1"/>
  <c r="AE238" i="1" s="1"/>
  <c r="AF238" i="1" s="1"/>
  <c r="AG238" i="1" s="1"/>
  <c r="AA238" i="1"/>
  <c r="S222" i="1"/>
  <c r="T222" i="1" s="1"/>
  <c r="U222" i="1" s="1"/>
  <c r="V222" i="1" s="1"/>
  <c r="AB222" i="1" s="1"/>
  <c r="AC222" i="1" s="1"/>
  <c r="AD222" i="1" s="1"/>
  <c r="AE222" i="1" s="1"/>
  <c r="AF222" i="1" s="1"/>
  <c r="AG222" i="1" s="1"/>
  <c r="AA222" i="1"/>
  <c r="S243" i="1"/>
  <c r="T243" i="1" s="1"/>
  <c r="U243" i="1" s="1"/>
  <c r="V243" i="1" s="1"/>
  <c r="AB243" i="1" s="1"/>
  <c r="AC243" i="1" s="1"/>
  <c r="AA243" i="1"/>
  <c r="S191" i="1"/>
  <c r="AA191" i="1"/>
  <c r="S190" i="1"/>
  <c r="AA190" i="1"/>
  <c r="P165" i="1"/>
  <c r="O159" i="1"/>
  <c r="P163" i="1"/>
  <c r="O161" i="1"/>
  <c r="P159" i="1"/>
  <c r="P161" i="1"/>
  <c r="Q334" i="1"/>
  <c r="S235" i="1"/>
  <c r="T235" i="1" s="1"/>
  <c r="K342" i="1"/>
  <c r="M341" i="1"/>
  <c r="L342" i="1"/>
  <c r="N341" i="1"/>
  <c r="M342" i="1"/>
  <c r="N342" i="1"/>
  <c r="K341" i="1"/>
  <c r="L341" i="1"/>
  <c r="Q341" i="1"/>
  <c r="Q342" i="1"/>
  <c r="P341" i="1"/>
  <c r="P342" i="1"/>
  <c r="K249" i="1"/>
  <c r="K251" i="1" s="1"/>
  <c r="K334" i="1"/>
  <c r="O341" i="1"/>
  <c r="O342" i="1"/>
  <c r="Y100" i="1"/>
  <c r="Y129" i="1" s="1"/>
  <c r="X100" i="1"/>
  <c r="X129" i="1" s="1"/>
  <c r="X119" i="1"/>
  <c r="X130" i="1" s="1"/>
  <c r="Y119" i="1"/>
  <c r="Y130" i="1" s="1"/>
  <c r="Q72" i="1"/>
  <c r="Z69" i="1"/>
  <c r="Z3" i="1"/>
  <c r="AA3" i="1" s="1"/>
  <c r="AB3" i="1" s="1"/>
  <c r="AC3" i="1" s="1"/>
  <c r="AD3" i="1" s="1"/>
  <c r="AE3" i="1" s="1"/>
  <c r="AF3" i="1" s="1"/>
  <c r="AG3" i="1" s="1"/>
  <c r="Z85" i="1"/>
  <c r="S213" i="1"/>
  <c r="T213" i="1" s="1"/>
  <c r="U213" i="1" s="1"/>
  <c r="V213" i="1" s="1"/>
  <c r="AB213" i="1" s="1"/>
  <c r="AC213" i="1" s="1"/>
  <c r="AD213" i="1" s="1"/>
  <c r="AE213" i="1" s="1"/>
  <c r="AF213" i="1" s="1"/>
  <c r="AG213" i="1" s="1"/>
  <c r="Q159" i="1"/>
  <c r="Q165" i="1"/>
  <c r="Q163" i="1"/>
  <c r="Q161" i="1"/>
  <c r="AA118" i="1"/>
  <c r="J30" i="5"/>
  <c r="I30" i="5"/>
  <c r="J29" i="5"/>
  <c r="K25" i="5"/>
  <c r="S230" i="1"/>
  <c r="T230" i="1" s="1"/>
  <c r="U230" i="1" s="1"/>
  <c r="V230" i="1" s="1"/>
  <c r="AB230" i="1" s="1"/>
  <c r="AC230" i="1" s="1"/>
  <c r="AD230" i="1" s="1"/>
  <c r="AE230" i="1" s="1"/>
  <c r="AF230" i="1" s="1"/>
  <c r="AG230" i="1" s="1"/>
  <c r="Z152" i="1"/>
  <c r="Z100" i="1"/>
  <c r="Z119" i="1"/>
  <c r="Z130" i="1" s="1"/>
  <c r="O165" i="1"/>
  <c r="Z166" i="1"/>
  <c r="Q48" i="32" s="1"/>
  <c r="K165" i="1"/>
  <c r="Z154" i="1"/>
  <c r="M163" i="1"/>
  <c r="Z153" i="1"/>
  <c r="Z184" i="1"/>
  <c r="K159" i="1"/>
  <c r="Z151" i="1"/>
  <c r="O163" i="1"/>
  <c r="I10" i="5"/>
  <c r="I40" i="5" s="1"/>
  <c r="H79" i="3"/>
  <c r="S236" i="1"/>
  <c r="T236" i="1" s="1"/>
  <c r="U236" i="1" s="1"/>
  <c r="V236" i="1" s="1"/>
  <c r="AB236" i="1" s="1"/>
  <c r="AC236" i="1" s="1"/>
  <c r="AD236" i="1" s="1"/>
  <c r="AE236" i="1" s="1"/>
  <c r="AF236" i="1" s="1"/>
  <c r="AG236" i="1" s="1"/>
  <c r="Q249" i="1"/>
  <c r="Q251" i="1" s="1"/>
  <c r="S118" i="1"/>
  <c r="AA67" i="1"/>
  <c r="AA68" i="1" s="1"/>
  <c r="L122" i="1"/>
  <c r="L172" i="1" s="1"/>
  <c r="P122" i="1"/>
  <c r="P172" i="1" s="1"/>
  <c r="N122" i="1"/>
  <c r="N172" i="1" s="1"/>
  <c r="M122" i="1"/>
  <c r="M172" i="1" s="1"/>
  <c r="Q122" i="1"/>
  <c r="Q172" i="1" s="1"/>
  <c r="O122" i="1"/>
  <c r="O172" i="1" s="1"/>
  <c r="Q298" i="1"/>
  <c r="Q300" i="1" s="1"/>
  <c r="R299" i="1" s="1"/>
  <c r="K122" i="1"/>
  <c r="K172" i="1" s="1"/>
  <c r="H17" i="4"/>
  <c r="H19" i="4" s="1"/>
  <c r="J10" i="5"/>
  <c r="J41" i="5" s="1"/>
  <c r="I29" i="5"/>
  <c r="K34" i="5" s="1"/>
  <c r="D30" i="3"/>
  <c r="E29" i="3"/>
  <c r="F29" i="3" s="1"/>
  <c r="E30" i="3"/>
  <c r="F81" i="3"/>
  <c r="H82" i="3"/>
  <c r="E80" i="3"/>
  <c r="H81" i="3"/>
  <c r="D83" i="3"/>
  <c r="D79" i="3"/>
  <c r="F80" i="3"/>
  <c r="E83" i="3"/>
  <c r="E79" i="3"/>
  <c r="G80" i="3"/>
  <c r="D82" i="3"/>
  <c r="F83" i="3"/>
  <c r="F79" i="3"/>
  <c r="H80" i="3"/>
  <c r="E82" i="3"/>
  <c r="G83" i="3"/>
  <c r="G79" i="3"/>
  <c r="D81" i="3"/>
  <c r="F82" i="3"/>
  <c r="H92" i="32" l="1"/>
  <c r="V92" i="32"/>
  <c r="T92" i="32"/>
  <c r="I92" i="32"/>
  <c r="I116" i="32" s="1"/>
  <c r="T114" i="1" s="1"/>
  <c r="K92" i="32"/>
  <c r="J92" i="32"/>
  <c r="J116" i="32" s="1"/>
  <c r="U114" i="1" s="1"/>
  <c r="U92" i="32"/>
  <c r="G92" i="32"/>
  <c r="H94" i="32"/>
  <c r="K94" i="32"/>
  <c r="G94" i="32"/>
  <c r="R94" i="32" s="1"/>
  <c r="V94" i="32"/>
  <c r="U94" i="32"/>
  <c r="T94" i="32"/>
  <c r="I94" i="32"/>
  <c r="J94" i="32"/>
  <c r="H79" i="32"/>
  <c r="I79" i="32"/>
  <c r="G79" i="32"/>
  <c r="R79" i="32" s="1"/>
  <c r="J79" i="32"/>
  <c r="K79" i="32"/>
  <c r="V79" i="32"/>
  <c r="U79" i="32"/>
  <c r="T79" i="32"/>
  <c r="G91" i="32"/>
  <c r="V91" i="32"/>
  <c r="U91" i="32"/>
  <c r="I91" i="32"/>
  <c r="I115" i="32" s="1"/>
  <c r="T109" i="1" s="1"/>
  <c r="T108" i="1" s="1"/>
  <c r="T111" i="1" s="1"/>
  <c r="T112" i="1" s="1"/>
  <c r="K91" i="32"/>
  <c r="T91" i="32"/>
  <c r="H91" i="32"/>
  <c r="J91" i="32"/>
  <c r="J115" i="32" s="1"/>
  <c r="U109" i="1" s="1"/>
  <c r="U108" i="1" s="1"/>
  <c r="U111" i="1" s="1"/>
  <c r="U112" i="1" s="1"/>
  <c r="H89" i="32"/>
  <c r="I89" i="32"/>
  <c r="I113" i="32" s="1"/>
  <c r="T99" i="1" s="1"/>
  <c r="T98" i="1" s="1"/>
  <c r="V89" i="32"/>
  <c r="U89" i="32"/>
  <c r="T89" i="32"/>
  <c r="G89" i="32"/>
  <c r="J89" i="32"/>
  <c r="J113" i="32" s="1"/>
  <c r="U99" i="1" s="1"/>
  <c r="U98" i="1" s="1"/>
  <c r="K89" i="32"/>
  <c r="H88" i="32"/>
  <c r="G88" i="32"/>
  <c r="R88" i="32" s="1"/>
  <c r="U88" i="32"/>
  <c r="J88" i="32"/>
  <c r="K88" i="32"/>
  <c r="I88" i="32"/>
  <c r="V88" i="32"/>
  <c r="T88" i="32"/>
  <c r="U81" i="32"/>
  <c r="T81" i="32"/>
  <c r="H81" i="32"/>
  <c r="I81" i="32"/>
  <c r="I105" i="32" s="1"/>
  <c r="T78" i="1" s="1"/>
  <c r="T77" i="1" s="1"/>
  <c r="K81" i="32"/>
  <c r="G81" i="32"/>
  <c r="V81" i="32"/>
  <c r="J81" i="32"/>
  <c r="J105" i="32" s="1"/>
  <c r="U78" i="1" s="1"/>
  <c r="U77" i="1" s="1"/>
  <c r="G93" i="32"/>
  <c r="H93" i="32"/>
  <c r="J93" i="32"/>
  <c r="J117" i="32" s="1"/>
  <c r="U116" i="1" s="1"/>
  <c r="U115" i="1" s="1"/>
  <c r="K93" i="32"/>
  <c r="V93" i="32"/>
  <c r="U93" i="32"/>
  <c r="T93" i="32"/>
  <c r="I93" i="32"/>
  <c r="I117" i="32" s="1"/>
  <c r="T116" i="1" s="1"/>
  <c r="T115" i="1" s="1"/>
  <c r="H87" i="32"/>
  <c r="K87" i="32"/>
  <c r="I87" i="32"/>
  <c r="I111" i="32" s="1"/>
  <c r="T95" i="1" s="1"/>
  <c r="J87" i="32"/>
  <c r="J111" i="32" s="1"/>
  <c r="U95" i="1" s="1"/>
  <c r="G87" i="32"/>
  <c r="V87" i="32"/>
  <c r="U87" i="32"/>
  <c r="T87" i="32"/>
  <c r="H84" i="32"/>
  <c r="V84" i="32"/>
  <c r="U84" i="32"/>
  <c r="T84" i="32"/>
  <c r="I84" i="32"/>
  <c r="K84" i="32"/>
  <c r="J84" i="32"/>
  <c r="G84" i="32"/>
  <c r="R84" i="32" s="1"/>
  <c r="V78" i="32"/>
  <c r="U78" i="32"/>
  <c r="T78" i="32"/>
  <c r="J78" i="32"/>
  <c r="J102" i="32" s="1"/>
  <c r="U66" i="1" s="1"/>
  <c r="U65" i="1" s="1"/>
  <c r="K78" i="32"/>
  <c r="G78" i="32"/>
  <c r="H78" i="32"/>
  <c r="I78" i="32"/>
  <c r="I102" i="32" s="1"/>
  <c r="T66" i="1" s="1"/>
  <c r="T65" i="1" s="1"/>
  <c r="V76" i="32"/>
  <c r="U76" i="32"/>
  <c r="T76" i="32"/>
  <c r="G76" i="32"/>
  <c r="H76" i="32"/>
  <c r="I76" i="32"/>
  <c r="J76" i="32"/>
  <c r="K76" i="32"/>
  <c r="H77" i="32"/>
  <c r="K77" i="32"/>
  <c r="I77" i="32"/>
  <c r="I101" i="32" s="1"/>
  <c r="T64" i="1" s="1"/>
  <c r="T63" i="1" s="1"/>
  <c r="V77" i="32"/>
  <c r="U77" i="32"/>
  <c r="T77" i="32"/>
  <c r="J77" i="32"/>
  <c r="J101" i="32" s="1"/>
  <c r="U64" i="1" s="1"/>
  <c r="U63" i="1" s="1"/>
  <c r="G77" i="32"/>
  <c r="J83" i="32"/>
  <c r="J107" i="32" s="1"/>
  <c r="U82" i="1" s="1"/>
  <c r="U81" i="1" s="1"/>
  <c r="K83" i="32"/>
  <c r="V83" i="32"/>
  <c r="U83" i="32"/>
  <c r="T83" i="32"/>
  <c r="G83" i="32"/>
  <c r="H83" i="32"/>
  <c r="I83" i="32"/>
  <c r="I107" i="32" s="1"/>
  <c r="T82" i="1" s="1"/>
  <c r="T81" i="1" s="1"/>
  <c r="V86" i="32"/>
  <c r="U86" i="32"/>
  <c r="T86" i="32"/>
  <c r="G86" i="32"/>
  <c r="R86" i="32" s="1"/>
  <c r="H86" i="32"/>
  <c r="I86" i="32"/>
  <c r="K86" i="32"/>
  <c r="J86" i="32"/>
  <c r="H82" i="32"/>
  <c r="U82" i="32"/>
  <c r="K82" i="32"/>
  <c r="I82" i="32"/>
  <c r="I106" i="32" s="1"/>
  <c r="T80" i="1" s="1"/>
  <c r="T79" i="1" s="1"/>
  <c r="V82" i="32"/>
  <c r="T82" i="32"/>
  <c r="G82" i="32"/>
  <c r="J82" i="32"/>
  <c r="J106" i="32" s="1"/>
  <c r="U80" i="1" s="1"/>
  <c r="U79" i="1" s="1"/>
  <c r="J40" i="5"/>
  <c r="P136" i="1"/>
  <c r="N136" i="1"/>
  <c r="M134" i="1"/>
  <c r="M137" i="1"/>
  <c r="P89" i="1"/>
  <c r="K136" i="1"/>
  <c r="K134" i="1"/>
  <c r="K137" i="1"/>
  <c r="M89" i="1"/>
  <c r="K89" i="1"/>
  <c r="L131" i="1"/>
  <c r="C29" i="28"/>
  <c r="L89" i="1"/>
  <c r="O131" i="1"/>
  <c r="Z159" i="1"/>
  <c r="Z157" i="1" s="1"/>
  <c r="Q38" i="32"/>
  <c r="Q52" i="32" s="1"/>
  <c r="Q131" i="1"/>
  <c r="O89" i="1"/>
  <c r="N137" i="1"/>
  <c r="P137" i="1"/>
  <c r="C17" i="28"/>
  <c r="Q89" i="1"/>
  <c r="N135" i="1"/>
  <c r="M136" i="1"/>
  <c r="K135" i="1"/>
  <c r="Z165" i="1"/>
  <c r="Q41" i="32"/>
  <c r="Q55" i="32" s="1"/>
  <c r="Z129" i="1"/>
  <c r="N134" i="1"/>
  <c r="P134" i="1"/>
  <c r="Z163" i="1"/>
  <c r="Q40" i="32"/>
  <c r="Q54" i="32" s="1"/>
  <c r="Z161" i="1"/>
  <c r="Q39" i="32"/>
  <c r="Q53" i="32" s="1"/>
  <c r="P135" i="1"/>
  <c r="M135" i="1"/>
  <c r="I41" i="5"/>
  <c r="K45" i="5" s="1"/>
  <c r="Z72" i="1"/>
  <c r="Z127" i="1"/>
  <c r="Z88" i="1"/>
  <c r="Z128" i="1"/>
  <c r="X131" i="1"/>
  <c r="Y131" i="1"/>
  <c r="O167" i="1"/>
  <c r="K167" i="1"/>
  <c r="N167" i="1"/>
  <c r="L167" i="1"/>
  <c r="M167" i="1"/>
  <c r="Z169" i="1"/>
  <c r="Z171" i="1" s="1"/>
  <c r="P167" i="1"/>
  <c r="Q167" i="1"/>
  <c r="O186" i="1"/>
  <c r="O187" i="1" s="1"/>
  <c r="O326" i="1"/>
  <c r="O325" i="1"/>
  <c r="L186" i="1"/>
  <c r="L325" i="1"/>
  <c r="L326" i="1"/>
  <c r="Q186" i="1"/>
  <c r="Q326" i="1"/>
  <c r="Q325" i="1"/>
  <c r="R325" i="1" s="1"/>
  <c r="M186" i="1"/>
  <c r="M187" i="1" s="1"/>
  <c r="M325" i="1"/>
  <c r="M326" i="1"/>
  <c r="K186" i="1"/>
  <c r="K187" i="1" s="1"/>
  <c r="K325" i="1"/>
  <c r="K326" i="1"/>
  <c r="N186" i="1"/>
  <c r="N325" i="1"/>
  <c r="N326" i="1"/>
  <c r="P186" i="1"/>
  <c r="P187" i="1" s="1"/>
  <c r="P326" i="1"/>
  <c r="P325" i="1"/>
  <c r="AD243" i="1"/>
  <c r="Q170" i="1"/>
  <c r="R170" i="1" s="1"/>
  <c r="S170" i="1" s="1"/>
  <c r="Q312" i="1"/>
  <c r="R312" i="1" s="1"/>
  <c r="Q313" i="1"/>
  <c r="R313" i="1" s="1"/>
  <c r="Q314" i="1"/>
  <c r="Q345" i="1"/>
  <c r="N170" i="1"/>
  <c r="N313" i="1"/>
  <c r="N314" i="1"/>
  <c r="N312" i="1"/>
  <c r="N345" i="1"/>
  <c r="M170" i="1"/>
  <c r="M314" i="1"/>
  <c r="M312" i="1"/>
  <c r="M313" i="1"/>
  <c r="M345" i="1"/>
  <c r="P170" i="1"/>
  <c r="P312" i="1"/>
  <c r="P313" i="1"/>
  <c r="P314" i="1"/>
  <c r="P345" i="1"/>
  <c r="L170" i="1"/>
  <c r="L312" i="1"/>
  <c r="L313" i="1"/>
  <c r="L314" i="1"/>
  <c r="L345" i="1"/>
  <c r="K170" i="1"/>
  <c r="K312" i="1"/>
  <c r="K313" i="1"/>
  <c r="K314" i="1"/>
  <c r="K345" i="1"/>
  <c r="O170" i="1"/>
  <c r="O312" i="1"/>
  <c r="O313" i="1"/>
  <c r="O314" i="1"/>
  <c r="O345" i="1"/>
  <c r="T191" i="1"/>
  <c r="U191" i="1" s="1"/>
  <c r="V191" i="1" s="1"/>
  <c r="T190" i="1"/>
  <c r="P123" i="1"/>
  <c r="P177" i="1"/>
  <c r="P179" i="1"/>
  <c r="P175" i="1"/>
  <c r="L123" i="1"/>
  <c r="L175" i="1"/>
  <c r="L179" i="1"/>
  <c r="L177" i="1"/>
  <c r="O177" i="1"/>
  <c r="O175" i="1"/>
  <c r="O179" i="1"/>
  <c r="N123" i="1"/>
  <c r="N175" i="1"/>
  <c r="N177" i="1"/>
  <c r="N179" i="1"/>
  <c r="K123" i="1"/>
  <c r="K179" i="1"/>
  <c r="K177" i="1"/>
  <c r="K175" i="1"/>
  <c r="Q177" i="1"/>
  <c r="R177" i="1" s="1"/>
  <c r="S177" i="1" s="1"/>
  <c r="T177" i="1" s="1"/>
  <c r="U177" i="1" s="1"/>
  <c r="V177" i="1" s="1"/>
  <c r="Q179" i="1"/>
  <c r="R179" i="1" s="1"/>
  <c r="S179" i="1" s="1"/>
  <c r="T179" i="1" s="1"/>
  <c r="U179" i="1" s="1"/>
  <c r="V179" i="1" s="1"/>
  <c r="Q175" i="1"/>
  <c r="M123" i="1"/>
  <c r="M175" i="1"/>
  <c r="M177" i="1"/>
  <c r="M179" i="1"/>
  <c r="Y120" i="1"/>
  <c r="O123" i="1"/>
  <c r="Z120" i="1"/>
  <c r="Q123" i="1"/>
  <c r="M308" i="1"/>
  <c r="M306" i="1"/>
  <c r="P308" i="1"/>
  <c r="P306" i="1"/>
  <c r="O308" i="1"/>
  <c r="O306" i="1"/>
  <c r="K308" i="1"/>
  <c r="K306" i="1"/>
  <c r="L306" i="1"/>
  <c r="L308" i="1"/>
  <c r="N308" i="1"/>
  <c r="N306" i="1"/>
  <c r="O181" i="1"/>
  <c r="O182" i="1" s="1"/>
  <c r="M181" i="1"/>
  <c r="M182" i="1" s="1"/>
  <c r="N181" i="1"/>
  <c r="N182" i="1" s="1"/>
  <c r="P181" i="1"/>
  <c r="P182" i="1" s="1"/>
  <c r="L181" i="1"/>
  <c r="L182" i="1" s="1"/>
  <c r="Q181" i="1"/>
  <c r="Q182" i="1" s="1"/>
  <c r="K181" i="1"/>
  <c r="K182" i="1" s="1"/>
  <c r="K10" i="5"/>
  <c r="K41" i="5" s="1"/>
  <c r="K30" i="5"/>
  <c r="Z122" i="1"/>
  <c r="Z167" i="1" s="1"/>
  <c r="U235" i="1"/>
  <c r="Q308" i="1"/>
  <c r="R308" i="1" s="1"/>
  <c r="Q306" i="1"/>
  <c r="R306" i="1" s="1"/>
  <c r="T118" i="1"/>
  <c r="S117" i="1"/>
  <c r="K29" i="5"/>
  <c r="K21" i="5"/>
  <c r="F30" i="3"/>
  <c r="G29" i="3"/>
  <c r="V105" i="32" l="1"/>
  <c r="AE78" i="1" s="1"/>
  <c r="U116" i="32"/>
  <c r="AD114" i="1" s="1"/>
  <c r="K115" i="32"/>
  <c r="V109" i="1" s="1"/>
  <c r="K117" i="32"/>
  <c r="V116" i="1" s="1"/>
  <c r="K113" i="32"/>
  <c r="V99" i="1" s="1"/>
  <c r="M193" i="1"/>
  <c r="M196" i="1" s="1"/>
  <c r="V106" i="32"/>
  <c r="AE80" i="1" s="1"/>
  <c r="U102" i="32"/>
  <c r="AD66" i="1" s="1"/>
  <c r="V115" i="32"/>
  <c r="AE109" i="1" s="1"/>
  <c r="R77" i="32"/>
  <c r="G101" i="32"/>
  <c r="R64" i="1" s="1"/>
  <c r="R63" i="1" s="1"/>
  <c r="K100" i="32"/>
  <c r="V62" i="1" s="1"/>
  <c r="K96" i="32"/>
  <c r="T153" i="1"/>
  <c r="T162" i="1" s="1"/>
  <c r="R92" i="32"/>
  <c r="G116" i="32"/>
  <c r="R114" i="1" s="1"/>
  <c r="R113" i="1" s="1"/>
  <c r="R82" i="32"/>
  <c r="G106" i="32"/>
  <c r="R80" i="1" s="1"/>
  <c r="R79" i="1" s="1"/>
  <c r="H107" i="32"/>
  <c r="S82" i="1" s="1"/>
  <c r="S81" i="1" s="1"/>
  <c r="S83" i="32"/>
  <c r="T107" i="32" s="1"/>
  <c r="AC82" i="1" s="1"/>
  <c r="J100" i="32"/>
  <c r="U62" i="1" s="1"/>
  <c r="U61" i="1" s="1"/>
  <c r="J96" i="32"/>
  <c r="U111" i="32"/>
  <c r="AD95" i="1" s="1"/>
  <c r="I100" i="32"/>
  <c r="T62" i="1" s="1"/>
  <c r="T61" i="1" s="1"/>
  <c r="I96" i="32"/>
  <c r="R78" i="32"/>
  <c r="G102" i="32"/>
  <c r="R66" i="1" s="1"/>
  <c r="R65" i="1" s="1"/>
  <c r="R81" i="32"/>
  <c r="G105" i="32"/>
  <c r="R78" i="1" s="1"/>
  <c r="R77" i="1" s="1"/>
  <c r="R89" i="32"/>
  <c r="G113" i="32"/>
  <c r="R99" i="1" s="1"/>
  <c r="R98" i="1" s="1"/>
  <c r="S86" i="32"/>
  <c r="U101" i="32"/>
  <c r="AD64" i="1" s="1"/>
  <c r="K102" i="32"/>
  <c r="V66" i="1" s="1"/>
  <c r="G111" i="32"/>
  <c r="R95" i="1" s="1"/>
  <c r="R87" i="32"/>
  <c r="K105" i="32"/>
  <c r="V78" i="1" s="1"/>
  <c r="U107" i="32"/>
  <c r="AD82" i="1" s="1"/>
  <c r="V101" i="32"/>
  <c r="AE64" i="1" s="1"/>
  <c r="G100" i="32"/>
  <c r="R62" i="1" s="1"/>
  <c r="R61" i="1" s="1"/>
  <c r="G96" i="32"/>
  <c r="R76" i="32"/>
  <c r="T85" i="1"/>
  <c r="T88" i="1" s="1"/>
  <c r="U113" i="32"/>
  <c r="AD99" i="1" s="1"/>
  <c r="K106" i="32"/>
  <c r="V80" i="1" s="1"/>
  <c r="V107" i="32"/>
  <c r="AE82" i="1" s="1"/>
  <c r="T96" i="32"/>
  <c r="U153" i="1"/>
  <c r="U162" i="1" s="1"/>
  <c r="H105" i="32"/>
  <c r="S78" i="1" s="1"/>
  <c r="S77" i="1" s="1"/>
  <c r="S81" i="32"/>
  <c r="T105" i="32" s="1"/>
  <c r="AC78" i="1" s="1"/>
  <c r="V113" i="32"/>
  <c r="AE99" i="1" s="1"/>
  <c r="U115" i="32"/>
  <c r="AD109" i="1" s="1"/>
  <c r="U85" i="1"/>
  <c r="U88" i="1" s="1"/>
  <c r="H102" i="32"/>
  <c r="S66" i="1" s="1"/>
  <c r="S65" i="1" s="1"/>
  <c r="S78" i="32"/>
  <c r="S91" i="32"/>
  <c r="T115" i="32" s="1"/>
  <c r="AC109" i="1" s="1"/>
  <c r="H115" i="32"/>
  <c r="S109" i="1" s="1"/>
  <c r="S108" i="1" s="1"/>
  <c r="R83" i="32"/>
  <c r="G107" i="32"/>
  <c r="R82" i="1" s="1"/>
  <c r="R81" i="1" s="1"/>
  <c r="V111" i="32"/>
  <c r="AE95" i="1" s="1"/>
  <c r="U117" i="32"/>
  <c r="AD116" i="1" s="1"/>
  <c r="H100" i="32"/>
  <c r="S62" i="1" s="1"/>
  <c r="S61" i="1" s="1"/>
  <c r="S76" i="32"/>
  <c r="H96" i="32"/>
  <c r="V117" i="32"/>
  <c r="AE116" i="1" s="1"/>
  <c r="K116" i="32"/>
  <c r="V114" i="1" s="1"/>
  <c r="E8" i="28"/>
  <c r="Z73" i="1"/>
  <c r="AK73" i="1" s="1"/>
  <c r="U106" i="32"/>
  <c r="AD80" i="1" s="1"/>
  <c r="K107" i="32"/>
  <c r="V82" i="1" s="1"/>
  <c r="K101" i="32"/>
  <c r="V64" i="1" s="1"/>
  <c r="U96" i="32"/>
  <c r="U100" i="32"/>
  <c r="AD62" i="1" s="1"/>
  <c r="K111" i="32"/>
  <c r="V95" i="1" s="1"/>
  <c r="H117" i="32"/>
  <c r="S116" i="1" s="1"/>
  <c r="S115" i="1" s="1"/>
  <c r="S93" i="32"/>
  <c r="V116" i="32"/>
  <c r="AE114" i="1" s="1"/>
  <c r="H106" i="32"/>
  <c r="S80" i="1" s="1"/>
  <c r="S79" i="1" s="1"/>
  <c r="S82" i="32"/>
  <c r="T106" i="32" s="1"/>
  <c r="AC80" i="1" s="1"/>
  <c r="H101" i="32"/>
  <c r="S64" i="1" s="1"/>
  <c r="S63" i="1" s="1"/>
  <c r="S77" i="32"/>
  <c r="V96" i="32"/>
  <c r="V100" i="32"/>
  <c r="AE62" i="1" s="1"/>
  <c r="V102" i="32"/>
  <c r="AE66" i="1" s="1"/>
  <c r="S84" i="32"/>
  <c r="H111" i="32"/>
  <c r="S95" i="1" s="1"/>
  <c r="S87" i="32"/>
  <c r="T111" i="32" s="1"/>
  <c r="AC95" i="1" s="1"/>
  <c r="R93" i="32"/>
  <c r="G117" i="32"/>
  <c r="R116" i="1" s="1"/>
  <c r="R115" i="1" s="1"/>
  <c r="U105" i="32"/>
  <c r="AD78" i="1" s="1"/>
  <c r="S88" i="32"/>
  <c r="H113" i="32"/>
  <c r="S99" i="1" s="1"/>
  <c r="S98" i="1" s="1"/>
  <c r="S154" i="1" s="1"/>
  <c r="S164" i="1" s="1"/>
  <c r="S89" i="32"/>
  <c r="R91" i="32"/>
  <c r="G115" i="32"/>
  <c r="R109" i="1" s="1"/>
  <c r="R108" i="1" s="1"/>
  <c r="S79" i="32"/>
  <c r="S94" i="32"/>
  <c r="H116" i="32"/>
  <c r="S114" i="1" s="1"/>
  <c r="S113" i="1" s="1"/>
  <c r="S92" i="32"/>
  <c r="T116" i="32" s="1"/>
  <c r="AC114" i="1" s="1"/>
  <c r="Y137" i="1"/>
  <c r="Y140" i="1"/>
  <c r="Y141" i="1"/>
  <c r="Y142" i="1"/>
  <c r="Y143" i="1"/>
  <c r="L135" i="1"/>
  <c r="Y136" i="1"/>
  <c r="X136" i="1"/>
  <c r="Q135" i="1"/>
  <c r="C14" i="28"/>
  <c r="Q134" i="1"/>
  <c r="Q136" i="1"/>
  <c r="Q137" i="1"/>
  <c r="O134" i="1"/>
  <c r="O136" i="1"/>
  <c r="O137" i="1"/>
  <c r="Q49" i="32"/>
  <c r="C31" i="28"/>
  <c r="C36" i="28" s="1"/>
  <c r="Z341" i="1"/>
  <c r="Z342" i="1"/>
  <c r="C45" i="28" s="1"/>
  <c r="Y134" i="1"/>
  <c r="Y135" i="1"/>
  <c r="C16" i="28"/>
  <c r="Q42" i="32"/>
  <c r="Z89" i="1"/>
  <c r="C11" i="28"/>
  <c r="X134" i="1"/>
  <c r="X135" i="1"/>
  <c r="L134" i="1"/>
  <c r="L137" i="1"/>
  <c r="L136" i="1"/>
  <c r="Z131" i="1"/>
  <c r="Z143" i="1" s="1"/>
  <c r="C15" i="28"/>
  <c r="O135" i="1"/>
  <c r="X137" i="1"/>
  <c r="K40" i="5"/>
  <c r="K44" i="5" s="1"/>
  <c r="G10" i="4" s="1"/>
  <c r="H10" i="4" s="1"/>
  <c r="K193" i="1"/>
  <c r="P193" i="1"/>
  <c r="P196" i="1" s="1"/>
  <c r="O193" i="1"/>
  <c r="Z172" i="1"/>
  <c r="N193" i="1"/>
  <c r="N198" i="1" s="1"/>
  <c r="N200" i="1" s="1"/>
  <c r="N187" i="1"/>
  <c r="Q193" i="1"/>
  <c r="Q187" i="1"/>
  <c r="L193" i="1"/>
  <c r="L198" i="1" s="1"/>
  <c r="L200" i="1" s="1"/>
  <c r="L187" i="1"/>
  <c r="Z325" i="1"/>
  <c r="Z326" i="1"/>
  <c r="Z344" i="1"/>
  <c r="Z345" i="1" s="1"/>
  <c r="Z338" i="1"/>
  <c r="Z337" i="1"/>
  <c r="S325" i="1"/>
  <c r="AE243" i="1"/>
  <c r="Z170" i="1"/>
  <c r="Z186" i="1"/>
  <c r="Z313" i="1"/>
  <c r="Z314" i="1"/>
  <c r="Z306" i="1"/>
  <c r="Z312" i="1"/>
  <c r="Z308" i="1"/>
  <c r="M198" i="1"/>
  <c r="M200" i="1" s="1"/>
  <c r="U190" i="1"/>
  <c r="AB191" i="1"/>
  <c r="T170" i="1"/>
  <c r="Z123" i="1"/>
  <c r="Z177" i="1"/>
  <c r="Z175" i="1"/>
  <c r="Z179" i="1"/>
  <c r="Z181" i="1"/>
  <c r="V235" i="1"/>
  <c r="R314" i="1"/>
  <c r="R311" i="1"/>
  <c r="S312" i="1"/>
  <c r="S313" i="1"/>
  <c r="S308" i="1"/>
  <c r="R307" i="1"/>
  <c r="S306" i="1"/>
  <c r="T113" i="1"/>
  <c r="U118" i="1"/>
  <c r="T117" i="1"/>
  <c r="T154" i="1" s="1"/>
  <c r="T164" i="1" s="1"/>
  <c r="K33" i="5"/>
  <c r="K35" i="5" s="1"/>
  <c r="H28" i="4"/>
  <c r="H29" i="3"/>
  <c r="I29" i="3" s="1"/>
  <c r="I30" i="3" s="1"/>
  <c r="G30" i="3"/>
  <c r="R111" i="1" l="1"/>
  <c r="R151" i="1" s="1"/>
  <c r="V108" i="1"/>
  <c r="V111" i="1" s="1"/>
  <c r="AA108" i="1"/>
  <c r="AA109" i="1" s="1"/>
  <c r="S111" i="1"/>
  <c r="S112" i="1" s="1"/>
  <c r="Z140" i="1"/>
  <c r="S113" i="32"/>
  <c r="S116" i="32"/>
  <c r="S105" i="32"/>
  <c r="S102" i="32"/>
  <c r="S117" i="32"/>
  <c r="S107" i="32"/>
  <c r="S85" i="1"/>
  <c r="S88" i="1" s="1"/>
  <c r="S89" i="1" s="1"/>
  <c r="S101" i="32"/>
  <c r="S153" i="1"/>
  <c r="S162" i="1" s="1"/>
  <c r="T101" i="32"/>
  <c r="AC64" i="1" s="1"/>
  <c r="S69" i="1"/>
  <c r="R154" i="1"/>
  <c r="R164" i="1" s="1"/>
  <c r="V98" i="1"/>
  <c r="AA98" i="1"/>
  <c r="AA99" i="1" s="1"/>
  <c r="T113" i="32"/>
  <c r="AC99" i="1" s="1"/>
  <c r="AA115" i="1"/>
  <c r="AA116" i="1" s="1"/>
  <c r="V115" i="1"/>
  <c r="AB115" i="1" s="1"/>
  <c r="T117" i="32"/>
  <c r="AC116" i="1" s="1"/>
  <c r="R96" i="32"/>
  <c r="V65" i="1"/>
  <c r="R153" i="1"/>
  <c r="R162" i="1" s="1"/>
  <c r="S111" i="32"/>
  <c r="S106" i="32"/>
  <c r="V81" i="1"/>
  <c r="R69" i="1"/>
  <c r="V63" i="1"/>
  <c r="T100" i="32"/>
  <c r="AC62" i="1" s="1"/>
  <c r="S100" i="32"/>
  <c r="S96" i="32"/>
  <c r="T69" i="1"/>
  <c r="T151" i="1"/>
  <c r="AA113" i="1"/>
  <c r="AA114" i="1" s="1"/>
  <c r="R85" i="1"/>
  <c r="V77" i="1"/>
  <c r="U69" i="1"/>
  <c r="U151" i="1"/>
  <c r="S115" i="32"/>
  <c r="T102" i="32"/>
  <c r="AC66" i="1" s="1"/>
  <c r="V61" i="1"/>
  <c r="V79" i="1"/>
  <c r="Z141" i="1"/>
  <c r="Z142" i="1"/>
  <c r="Q56" i="32"/>
  <c r="Z137" i="1"/>
  <c r="Z135" i="1"/>
  <c r="T89" i="1"/>
  <c r="T128" i="1"/>
  <c r="Z136" i="1"/>
  <c r="C18" i="28"/>
  <c r="C32" i="28" s="1"/>
  <c r="Z182" i="1"/>
  <c r="C21" i="28"/>
  <c r="U89" i="1"/>
  <c r="Z134" i="1"/>
  <c r="P198" i="1"/>
  <c r="P203" i="1" s="1"/>
  <c r="P204" i="1" s="1"/>
  <c r="N196" i="1"/>
  <c r="T74" i="1"/>
  <c r="U74" i="1"/>
  <c r="L196" i="1"/>
  <c r="S74" i="1"/>
  <c r="N256" i="1"/>
  <c r="N203" i="1"/>
  <c r="N204" i="1" s="1"/>
  <c r="L256" i="1"/>
  <c r="Z193" i="1"/>
  <c r="Z187" i="1"/>
  <c r="L203" i="1"/>
  <c r="L204" i="1" s="1"/>
  <c r="H29" i="4"/>
  <c r="H14" i="4" s="1"/>
  <c r="H20" i="4" s="1"/>
  <c r="H21" i="4" s="1"/>
  <c r="G28" i="4"/>
  <c r="G29" i="4" s="1"/>
  <c r="G14" i="4" s="1"/>
  <c r="G20" i="4" s="1"/>
  <c r="G21" i="4" s="1"/>
  <c r="AB235" i="1"/>
  <c r="T325" i="1"/>
  <c r="AF243" i="1"/>
  <c r="M256" i="1"/>
  <c r="M203" i="1"/>
  <c r="M204" i="1" s="1"/>
  <c r="V190" i="1"/>
  <c r="AB190" i="1" s="1"/>
  <c r="AC190" i="1" s="1"/>
  <c r="AD190" i="1" s="1"/>
  <c r="AE190" i="1" s="1"/>
  <c r="AF190" i="1" s="1"/>
  <c r="AG190" i="1" s="1"/>
  <c r="K198" i="1"/>
  <c r="O198" i="1"/>
  <c r="O200" i="1" s="1"/>
  <c r="U170" i="1"/>
  <c r="S311" i="1"/>
  <c r="S307" i="1"/>
  <c r="O196" i="1"/>
  <c r="K196" i="1"/>
  <c r="T312" i="1"/>
  <c r="T313" i="1"/>
  <c r="S314" i="1"/>
  <c r="Q198" i="1"/>
  <c r="Q196" i="1"/>
  <c r="T308" i="1"/>
  <c r="T306" i="1"/>
  <c r="V113" i="1"/>
  <c r="U113" i="1"/>
  <c r="V118" i="1"/>
  <c r="V117" i="1" s="1"/>
  <c r="U117" i="1"/>
  <c r="U154" i="1" s="1"/>
  <c r="U164" i="1" s="1"/>
  <c r="T119" i="1"/>
  <c r="T130" i="1" s="1"/>
  <c r="K20" i="5"/>
  <c r="K22" i="5" s="1"/>
  <c r="J29" i="3"/>
  <c r="J30" i="3" s="1"/>
  <c r="H30" i="3"/>
  <c r="AB108" i="1" l="1"/>
  <c r="AB109" i="1" s="1"/>
  <c r="R119" i="1"/>
  <c r="AA119" i="1" s="1"/>
  <c r="S151" i="1"/>
  <c r="S119" i="1"/>
  <c r="S130" i="1" s="1"/>
  <c r="V112" i="1"/>
  <c r="R112" i="1"/>
  <c r="AA111" i="1"/>
  <c r="AA112" i="1" s="1"/>
  <c r="AB116" i="1"/>
  <c r="V154" i="1"/>
  <c r="V164" i="1" s="1"/>
  <c r="AC115" i="1"/>
  <c r="AD115" i="1" s="1"/>
  <c r="AE115" i="1" s="1"/>
  <c r="AF115" i="1" s="1"/>
  <c r="AG115" i="1" s="1"/>
  <c r="AI115" i="1" s="1"/>
  <c r="V153" i="1"/>
  <c r="V162" i="1" s="1"/>
  <c r="V151" i="1"/>
  <c r="V74" i="1"/>
  <c r="V85" i="1"/>
  <c r="V88" i="1" s="1"/>
  <c r="R196" i="1"/>
  <c r="R88" i="1"/>
  <c r="R89" i="1" s="1"/>
  <c r="R128" i="1"/>
  <c r="V69" i="1"/>
  <c r="AA77" i="1"/>
  <c r="AA78" i="1" s="1"/>
  <c r="P200" i="1"/>
  <c r="U128" i="1"/>
  <c r="AA81" i="1"/>
  <c r="AA82" i="1" s="1"/>
  <c r="AA83" i="1"/>
  <c r="G41" i="32"/>
  <c r="G63" i="32" s="1"/>
  <c r="AA79" i="1"/>
  <c r="AA80" i="1" s="1"/>
  <c r="C22" i="28"/>
  <c r="P321" i="1"/>
  <c r="C37" i="28"/>
  <c r="S128" i="1"/>
  <c r="N321" i="1"/>
  <c r="L321" i="1"/>
  <c r="M321" i="1"/>
  <c r="Z198" i="1"/>
  <c r="Z203" i="1" s="1"/>
  <c r="Z196" i="1"/>
  <c r="U325" i="1"/>
  <c r="AC235" i="1"/>
  <c r="AG243" i="1"/>
  <c r="K203" i="1"/>
  <c r="K256" i="1"/>
  <c r="Z256" i="1" s="1"/>
  <c r="K200" i="1"/>
  <c r="O203" i="1"/>
  <c r="T311" i="1"/>
  <c r="V170" i="1"/>
  <c r="T307" i="1"/>
  <c r="D38" i="3"/>
  <c r="I41" i="32"/>
  <c r="I63" i="32" s="1"/>
  <c r="S196" i="1"/>
  <c r="T196" i="1" s="1"/>
  <c r="U196" i="1" s="1"/>
  <c r="V196" i="1" s="1"/>
  <c r="AB98" i="1"/>
  <c r="AB99" i="1" s="1"/>
  <c r="AB117" i="1"/>
  <c r="AB118" i="1" s="1"/>
  <c r="AC118" i="1" s="1"/>
  <c r="AC117" i="1" s="1"/>
  <c r="AB111" i="1"/>
  <c r="AB113" i="1"/>
  <c r="T314" i="1"/>
  <c r="U312" i="1"/>
  <c r="U313" i="1"/>
  <c r="Q200" i="1"/>
  <c r="Q203" i="1"/>
  <c r="U308" i="1"/>
  <c r="U306" i="1"/>
  <c r="U119" i="1"/>
  <c r="U130" i="1" s="1"/>
  <c r="V119" i="1"/>
  <c r="V130" i="1" s="1"/>
  <c r="K46" i="5"/>
  <c r="G9" i="4" s="1"/>
  <c r="R130" i="1" l="1"/>
  <c r="AC108" i="1"/>
  <c r="AD108" i="1" s="1"/>
  <c r="AE108" i="1" s="1"/>
  <c r="AF108" i="1" s="1"/>
  <c r="AG108" i="1" s="1"/>
  <c r="AI108" i="1" s="1"/>
  <c r="V89" i="1"/>
  <c r="AA130" i="1"/>
  <c r="D17" i="28" s="1"/>
  <c r="AA120" i="1"/>
  <c r="AA85" i="1"/>
  <c r="AA128" i="1" s="1"/>
  <c r="AA84" i="1"/>
  <c r="G47" i="32"/>
  <c r="G55" i="32" s="1"/>
  <c r="AA154" i="1"/>
  <c r="R41" i="32" s="1"/>
  <c r="R63" i="32" s="1"/>
  <c r="Z200" i="1"/>
  <c r="AD235" i="1"/>
  <c r="V325" i="1"/>
  <c r="Z204" i="1"/>
  <c r="Z321" i="1"/>
  <c r="O204" i="1"/>
  <c r="O321" i="1"/>
  <c r="Q204" i="1"/>
  <c r="Q321" i="1"/>
  <c r="K204" i="1"/>
  <c r="K321" i="1"/>
  <c r="U311" i="1"/>
  <c r="I47" i="32"/>
  <c r="I55" i="32" s="1"/>
  <c r="U307" i="1"/>
  <c r="AB112" i="1"/>
  <c r="AD118" i="1"/>
  <c r="AE118" i="1" s="1"/>
  <c r="AF118" i="1" s="1"/>
  <c r="AG118" i="1" s="1"/>
  <c r="AC98" i="1"/>
  <c r="AD98" i="1" s="1"/>
  <c r="AE98" i="1" s="1"/>
  <c r="AF98" i="1" s="1"/>
  <c r="AG98" i="1" s="1"/>
  <c r="AB119" i="1"/>
  <c r="AB67" i="1"/>
  <c r="AB114" i="1"/>
  <c r="V313" i="1"/>
  <c r="V312" i="1"/>
  <c r="U314" i="1"/>
  <c r="V308" i="1"/>
  <c r="V306" i="1"/>
  <c r="D15" i="28" l="1"/>
  <c r="AA86" i="1"/>
  <c r="AA164" i="1"/>
  <c r="R47" i="32" s="1"/>
  <c r="R55" i="32" s="1"/>
  <c r="J41" i="32"/>
  <c r="J63" i="32" s="1"/>
  <c r="AA88" i="1"/>
  <c r="AA89" i="1" s="1"/>
  <c r="G69" i="32"/>
  <c r="I69" i="32"/>
  <c r="V128" i="1"/>
  <c r="H41" i="32"/>
  <c r="H63" i="32" s="1"/>
  <c r="H47" i="32"/>
  <c r="AB120" i="1"/>
  <c r="AB130" i="1"/>
  <c r="H9" i="4"/>
  <c r="H11" i="4" s="1"/>
  <c r="H13" i="4" s="1"/>
  <c r="H15" i="4" s="1"/>
  <c r="H23" i="4" s="1"/>
  <c r="G11" i="4"/>
  <c r="G13" i="4" s="1"/>
  <c r="G15" i="4" s="1"/>
  <c r="G23" i="4" s="1"/>
  <c r="AE235" i="1"/>
  <c r="V311" i="1"/>
  <c r="J47" i="32"/>
  <c r="V307" i="1"/>
  <c r="AD117" i="1"/>
  <c r="AE117" i="1" s="1"/>
  <c r="AF117" i="1" s="1"/>
  <c r="AG117" i="1" s="1"/>
  <c r="AB79" i="1"/>
  <c r="AC79" i="1" s="1"/>
  <c r="AD79" i="1" s="1"/>
  <c r="AE79" i="1" s="1"/>
  <c r="AF79" i="1" s="1"/>
  <c r="AG79" i="1" s="1"/>
  <c r="AC113" i="1"/>
  <c r="AB68" i="1"/>
  <c r="V314" i="1"/>
  <c r="D11" i="28" l="1"/>
  <c r="J55" i="32"/>
  <c r="AB81" i="1"/>
  <c r="AA165" i="1"/>
  <c r="R69" i="32"/>
  <c r="D28" i="28"/>
  <c r="AB77" i="1"/>
  <c r="H55" i="32"/>
  <c r="H69" i="32"/>
  <c r="J69" i="32"/>
  <c r="AB83" i="1"/>
  <c r="K41" i="32"/>
  <c r="K63" i="32" s="1"/>
  <c r="E17" i="28"/>
  <c r="G25" i="4"/>
  <c r="AF235" i="1"/>
  <c r="AG235" i="1" s="1"/>
  <c r="AB80" i="1"/>
  <c r="AD113" i="1"/>
  <c r="AB82" i="1" l="1"/>
  <c r="AC81" i="1"/>
  <c r="AD81" i="1" s="1"/>
  <c r="AE81" i="1" s="1"/>
  <c r="AF81" i="1" s="1"/>
  <c r="AG81" i="1" s="1"/>
  <c r="AB78" i="1"/>
  <c r="AC77" i="1"/>
  <c r="AB85" i="1"/>
  <c r="AB128" i="1" s="1"/>
  <c r="AB84" i="1"/>
  <c r="AB164" i="1"/>
  <c r="E28" i="28" s="1"/>
  <c r="AB154" i="1"/>
  <c r="S41" i="32" s="1"/>
  <c r="S63" i="32" s="1"/>
  <c r="AE113" i="1"/>
  <c r="AC154" i="1"/>
  <c r="T41" i="32" l="1"/>
  <c r="C15" i="35"/>
  <c r="I15" i="35" s="1"/>
  <c r="AD77" i="1"/>
  <c r="AC85" i="1"/>
  <c r="AC88" i="1" s="1"/>
  <c r="AB86" i="1"/>
  <c r="AB88" i="1"/>
  <c r="E15" i="28"/>
  <c r="K47" i="32"/>
  <c r="K55" i="32" s="1"/>
  <c r="AB165" i="1"/>
  <c r="S47" i="32"/>
  <c r="S55" i="32" s="1"/>
  <c r="AC164" i="1"/>
  <c r="AD154" i="1"/>
  <c r="D15" i="35" s="1"/>
  <c r="J15" i="35" s="1"/>
  <c r="AF113" i="1"/>
  <c r="T63" i="32" l="1"/>
  <c r="C21" i="35"/>
  <c r="AC89" i="1"/>
  <c r="AD85" i="1"/>
  <c r="AD88" i="1" s="1"/>
  <c r="AD89" i="1" s="1"/>
  <c r="AE77" i="1"/>
  <c r="E11" i="28"/>
  <c r="AB89" i="1"/>
  <c r="S69" i="32"/>
  <c r="K69" i="32"/>
  <c r="AD164" i="1"/>
  <c r="U41" i="32"/>
  <c r="F28" i="28"/>
  <c r="T47" i="32"/>
  <c r="AG113" i="1"/>
  <c r="AE154" i="1"/>
  <c r="D21" i="35" l="1"/>
  <c r="I21" i="35"/>
  <c r="C27" i="35"/>
  <c r="I27" i="35" s="1"/>
  <c r="AF77" i="1"/>
  <c r="AE85" i="1"/>
  <c r="AE88" i="1" s="1"/>
  <c r="AE89" i="1" s="1"/>
  <c r="U63" i="32"/>
  <c r="T55" i="32"/>
  <c r="T69" i="32"/>
  <c r="AE164" i="1"/>
  <c r="V41" i="32"/>
  <c r="V63" i="32" s="1"/>
  <c r="G28" i="28"/>
  <c r="U47" i="32"/>
  <c r="AI113" i="1"/>
  <c r="AF154" i="1"/>
  <c r="AF164" i="1" s="1"/>
  <c r="I28" i="28" s="1"/>
  <c r="J21" i="35" l="1"/>
  <c r="D27" i="35"/>
  <c r="J27" i="35" s="1"/>
  <c r="AG77" i="1"/>
  <c r="AG85" i="1" s="1"/>
  <c r="AG88" i="1" s="1"/>
  <c r="AF85" i="1"/>
  <c r="AF88" i="1" s="1"/>
  <c r="AF89" i="1" s="1"/>
  <c r="U55" i="32"/>
  <c r="U69" i="32"/>
  <c r="H28" i="28"/>
  <c r="V47" i="32"/>
  <c r="V55" i="32" s="1"/>
  <c r="F11" i="28"/>
  <c r="AG154" i="1"/>
  <c r="AG89" i="1" l="1"/>
  <c r="V69" i="32"/>
  <c r="AG164" i="1"/>
  <c r="AI164" i="1" s="1"/>
  <c r="AI154" i="1"/>
  <c r="G11" i="28"/>
  <c r="AC86" i="1"/>
  <c r="AC128" i="1"/>
  <c r="C7" i="35" s="1"/>
  <c r="I7" i="35" s="1"/>
  <c r="AD36" i="1"/>
  <c r="G7" i="28" s="1"/>
  <c r="AE36" i="1"/>
  <c r="H7" i="28" s="1"/>
  <c r="AC36" i="1"/>
  <c r="F7" i="28" s="1"/>
  <c r="AF36" i="1"/>
  <c r="I7" i="28" s="1"/>
  <c r="AG36" i="1"/>
  <c r="F15" i="28" l="1"/>
  <c r="J7" i="28"/>
  <c r="AI36" i="1"/>
  <c r="J28" i="28"/>
  <c r="H11" i="28"/>
  <c r="AD86" i="1"/>
  <c r="AD128" i="1"/>
  <c r="D7" i="35" s="1"/>
  <c r="J7" i="35" s="1"/>
  <c r="R74" i="1"/>
  <c r="AB65" i="1"/>
  <c r="AC65" i="1" s="1"/>
  <c r="AD65" i="1" s="1"/>
  <c r="AE65" i="1" s="1"/>
  <c r="AF65" i="1" s="1"/>
  <c r="AG65" i="1" s="1"/>
  <c r="AB61" i="1"/>
  <c r="AB74" i="1" l="1"/>
  <c r="E19" i="10" s="1"/>
  <c r="E23" i="10" s="1"/>
  <c r="E25" i="10" s="1"/>
  <c r="AC61" i="1"/>
  <c r="G15" i="28"/>
  <c r="AE86" i="1"/>
  <c r="AE128" i="1"/>
  <c r="H15" i="28" s="1"/>
  <c r="I11" i="28"/>
  <c r="AA61" i="1"/>
  <c r="AA74" i="1" s="1"/>
  <c r="D19" i="10" s="1"/>
  <c r="D23" i="10" s="1"/>
  <c r="D25" i="10" s="1"/>
  <c r="AA65" i="1"/>
  <c r="AA66" i="1" s="1"/>
  <c r="AB110" i="1" l="1"/>
  <c r="E19" i="28" s="1"/>
  <c r="AD61" i="1"/>
  <c r="AF128" i="1"/>
  <c r="I15" i="28" s="1"/>
  <c r="AF86" i="1"/>
  <c r="J11" i="28"/>
  <c r="AI88" i="1"/>
  <c r="AA62" i="1"/>
  <c r="AB66" i="1"/>
  <c r="AB62" i="1"/>
  <c r="AE61" i="1" l="1"/>
  <c r="AG86" i="1"/>
  <c r="AG128" i="1"/>
  <c r="J15" i="28" s="1"/>
  <c r="AI85" i="1"/>
  <c r="AF61" i="1" l="1"/>
  <c r="AA92" i="1"/>
  <c r="AA93" i="1" s="1"/>
  <c r="R93" i="1"/>
  <c r="G38" i="32"/>
  <c r="AG61" i="1" l="1"/>
  <c r="G60" i="32"/>
  <c r="AA151" i="1"/>
  <c r="R38" i="32" s="1"/>
  <c r="R60" i="32" l="1"/>
  <c r="H38" i="32" l="1"/>
  <c r="S93" i="1"/>
  <c r="I38" i="32"/>
  <c r="T93" i="1"/>
  <c r="I60" i="32" l="1"/>
  <c r="H60" i="32"/>
  <c r="J38" i="32"/>
  <c r="U93" i="1"/>
  <c r="K38" i="32"/>
  <c r="V93" i="1"/>
  <c r="AB92" i="1"/>
  <c r="K60" i="32" l="1"/>
  <c r="J60" i="32"/>
  <c r="AB151" i="1"/>
  <c r="S38" i="32" s="1"/>
  <c r="AB93" i="1"/>
  <c r="AC93" i="1" s="1"/>
  <c r="AD93" i="1" s="1"/>
  <c r="AE93" i="1" s="1"/>
  <c r="AF93" i="1" s="1"/>
  <c r="AG93" i="1" s="1"/>
  <c r="S60" i="32" l="1"/>
  <c r="AC92" i="1"/>
  <c r="AD92" i="1" l="1"/>
  <c r="AE92" i="1" l="1"/>
  <c r="AF159" i="1" l="1"/>
  <c r="AG159" i="1" s="1"/>
  <c r="AF92" i="1"/>
  <c r="AG92" i="1" l="1"/>
  <c r="R94" i="1" l="1"/>
  <c r="AA94" i="1" l="1"/>
  <c r="AA95" i="1" s="1"/>
  <c r="S94" i="1" l="1"/>
  <c r="T94" i="1"/>
  <c r="U94" i="1" l="1"/>
  <c r="V94" i="1" l="1"/>
  <c r="AB94" i="1" l="1"/>
  <c r="AB95" i="1" s="1"/>
  <c r="AC94" i="1" s="1"/>
  <c r="AD94" i="1" l="1"/>
  <c r="AE94" i="1" l="1"/>
  <c r="AF94" i="1" l="1"/>
  <c r="AG94" i="1" l="1"/>
  <c r="AA96" i="1" l="1"/>
  <c r="AA97" i="1" s="1"/>
  <c r="V97" i="1"/>
  <c r="I40" i="32"/>
  <c r="V100" i="1"/>
  <c r="H40" i="32"/>
  <c r="S100" i="1"/>
  <c r="R100" i="1"/>
  <c r="T97" i="1"/>
  <c r="T100" i="1"/>
  <c r="J40" i="32"/>
  <c r="S97" i="1"/>
  <c r="AB96" i="1"/>
  <c r="U97" i="1"/>
  <c r="U100" i="1"/>
  <c r="K40" i="32"/>
  <c r="R97" i="1"/>
  <c r="G40" i="32"/>
  <c r="G62" i="32" l="1"/>
  <c r="K62" i="32"/>
  <c r="J62" i="32"/>
  <c r="I62" i="32"/>
  <c r="H62" i="32"/>
  <c r="T129" i="1"/>
  <c r="AA100" i="1"/>
  <c r="R129" i="1"/>
  <c r="U129" i="1"/>
  <c r="S129" i="1"/>
  <c r="V129" i="1"/>
  <c r="AB97" i="1"/>
  <c r="AC97" i="1" s="1"/>
  <c r="AC96" i="1" s="1"/>
  <c r="K46" i="32"/>
  <c r="K54" i="32" s="1"/>
  <c r="I46" i="32"/>
  <c r="I54" i="32" s="1"/>
  <c r="J46" i="32"/>
  <c r="J54" i="32" s="1"/>
  <c r="H46" i="32"/>
  <c r="H54" i="32" s="1"/>
  <c r="G46" i="32"/>
  <c r="G54" i="32" s="1"/>
  <c r="AA153" i="1"/>
  <c r="R40" i="32" s="1"/>
  <c r="AB100" i="1"/>
  <c r="AB153" i="1"/>
  <c r="S40" i="32" s="1"/>
  <c r="AD97" i="1" l="1"/>
  <c r="AE97" i="1" s="1"/>
  <c r="AF97" i="1" s="1"/>
  <c r="AG97" i="1" s="1"/>
  <c r="G68" i="32"/>
  <c r="H68" i="32"/>
  <c r="I68" i="32"/>
  <c r="J68" i="32"/>
  <c r="K68" i="32"/>
  <c r="R62" i="32"/>
  <c r="S62" i="32"/>
  <c r="AB101" i="1"/>
  <c r="AB129" i="1"/>
  <c r="AA101" i="1"/>
  <c r="AA129" i="1"/>
  <c r="AA162" i="1"/>
  <c r="R46" i="32" s="1"/>
  <c r="R54" i="32" s="1"/>
  <c r="AB162" i="1"/>
  <c r="AC100" i="1"/>
  <c r="AC129" i="1" s="1"/>
  <c r="AD96" i="1" l="1"/>
  <c r="AE96" i="1" s="1"/>
  <c r="C8" i="35"/>
  <c r="I8" i="35" s="1"/>
  <c r="R68" i="32"/>
  <c r="D16" i="28"/>
  <c r="F16" i="28"/>
  <c r="E16" i="28"/>
  <c r="E27" i="28"/>
  <c r="S46" i="32"/>
  <c r="S54" i="32" s="1"/>
  <c r="D27" i="28"/>
  <c r="AB163" i="1"/>
  <c r="AA163" i="1"/>
  <c r="AC101" i="1"/>
  <c r="AD100" i="1" l="1"/>
  <c r="AD129" i="1" s="1"/>
  <c r="S68" i="32"/>
  <c r="AF96" i="1"/>
  <c r="AE100" i="1"/>
  <c r="AE129" i="1" s="1"/>
  <c r="AD101" i="1" l="1"/>
  <c r="D8" i="35"/>
  <c r="J8" i="35" s="1"/>
  <c r="G16" i="28"/>
  <c r="H16" i="28"/>
  <c r="AE101" i="1"/>
  <c r="AF100" i="1"/>
  <c r="AF129" i="1" s="1"/>
  <c r="AG96" i="1"/>
  <c r="I16" i="28" l="1"/>
  <c r="AG100" i="1"/>
  <c r="AF101" i="1"/>
  <c r="AG129" i="1" l="1"/>
  <c r="AI100" i="1"/>
  <c r="AG101" i="1"/>
  <c r="J16" i="28" l="1"/>
  <c r="X292" i="1" l="1"/>
  <c r="Y327" i="1" s="1"/>
  <c r="D344" i="1"/>
  <c r="D345" i="1" s="1"/>
  <c r="X344" i="1" l="1"/>
  <c r="X345" i="1" s="1"/>
  <c r="X325" i="1"/>
  <c r="X338" i="1"/>
  <c r="AA199" i="1" l="1"/>
  <c r="AB199" i="1" s="1"/>
  <c r="AC199" i="1" s="1"/>
  <c r="AD199" i="1" s="1"/>
  <c r="S286" i="1"/>
  <c r="R286" i="1"/>
  <c r="AA286" i="1" s="1"/>
  <c r="F16" i="29" l="1"/>
  <c r="AE199" i="1"/>
  <c r="AF199" i="1" s="1"/>
  <c r="AG199" i="1" s="1"/>
  <c r="R289" i="1"/>
  <c r="AA289" i="1" s="1"/>
  <c r="S289" i="1"/>
  <c r="AA322" i="1"/>
  <c r="F29" i="29" s="1"/>
  <c r="F30" i="29" s="1"/>
  <c r="AA323" i="1" l="1"/>
  <c r="D42" i="28"/>
  <c r="D43" i="28" s="1"/>
  <c r="T286" i="1"/>
  <c r="T289" i="1" l="1"/>
  <c r="U286" i="1"/>
  <c r="D16" i="29" l="1"/>
  <c r="U289" i="1"/>
  <c r="V286" i="1"/>
  <c r="AB286" i="1" s="1"/>
  <c r="AB322" i="1" l="1"/>
  <c r="E16" i="29"/>
  <c r="V289" i="1"/>
  <c r="E42" i="28" l="1"/>
  <c r="E43" i="28" s="1"/>
  <c r="D29" i="29"/>
  <c r="D30" i="29" s="1"/>
  <c r="AC322" i="1"/>
  <c r="AB323" i="1"/>
  <c r="AB289" i="1"/>
  <c r="AD322" i="1" l="1"/>
  <c r="F42" i="28"/>
  <c r="F43" i="28" s="1"/>
  <c r="E29" i="29"/>
  <c r="E30" i="29" s="1"/>
  <c r="AC286" i="1"/>
  <c r="AC289" i="1" l="1"/>
  <c r="G42" i="28"/>
  <c r="G43" i="28" s="1"/>
  <c r="AD286" i="1"/>
  <c r="AE322" i="1"/>
  <c r="AD289" i="1" l="1"/>
  <c r="H42" i="28"/>
  <c r="H43" i="28" s="1"/>
  <c r="AE286" i="1"/>
  <c r="AF322" i="1"/>
  <c r="I42" i="28" l="1"/>
  <c r="I43" i="28" s="1"/>
  <c r="AF286" i="1"/>
  <c r="AG322" i="1"/>
  <c r="AE289" i="1"/>
  <c r="J42" i="28" l="1"/>
  <c r="J43" i="28" s="1"/>
  <c r="AG286" i="1"/>
  <c r="AF289" i="1"/>
  <c r="AG289" i="1" l="1"/>
  <c r="S158" i="1"/>
  <c r="T158" i="1"/>
  <c r="U158" i="1"/>
  <c r="J44" i="32" s="1"/>
  <c r="R158" i="1"/>
  <c r="AA158" i="1" s="1"/>
  <c r="V158" i="1"/>
  <c r="K44" i="32" s="1"/>
  <c r="K52" i="32" s="1"/>
  <c r="D25" i="28" l="1"/>
  <c r="R44" i="32"/>
  <c r="AA159" i="1"/>
  <c r="AA157" i="1" s="1"/>
  <c r="AB157" i="1" s="1"/>
  <c r="I44" i="32"/>
  <c r="J52" i="32"/>
  <c r="J66" i="32"/>
  <c r="K66" i="32"/>
  <c r="H44" i="32"/>
  <c r="AB158" i="1"/>
  <c r="G44" i="32"/>
  <c r="R52" i="32" l="1"/>
  <c r="R66" i="32"/>
  <c r="I66" i="32"/>
  <c r="I52" i="32"/>
  <c r="G66" i="32"/>
  <c r="G52" i="32"/>
  <c r="E25" i="28"/>
  <c r="S44" i="32"/>
  <c r="AB159" i="1"/>
  <c r="H52" i="32"/>
  <c r="H66" i="32"/>
  <c r="S52" i="32" l="1"/>
  <c r="S66" i="32"/>
  <c r="U152" i="1"/>
  <c r="J39" i="32" s="1"/>
  <c r="T152" i="1"/>
  <c r="T160" i="1" s="1"/>
  <c r="V152" i="1"/>
  <c r="S152" i="1"/>
  <c r="H39" i="32" s="1"/>
  <c r="U160" i="1" l="1"/>
  <c r="H61" i="32"/>
  <c r="H42" i="32"/>
  <c r="H64" i="32" s="1"/>
  <c r="I45" i="32"/>
  <c r="T166" i="1"/>
  <c r="I48" i="32" s="1"/>
  <c r="I39" i="32"/>
  <c r="K39" i="32"/>
  <c r="V160" i="1"/>
  <c r="AA63" i="1"/>
  <c r="R152" i="1"/>
  <c r="J42" i="32"/>
  <c r="J64" i="32" s="1"/>
  <c r="J61" i="32"/>
  <c r="AB152" i="1"/>
  <c r="S39" i="32" s="1"/>
  <c r="S160" i="1"/>
  <c r="AB63" i="1"/>
  <c r="AC63" i="1" l="1"/>
  <c r="AB69" i="1"/>
  <c r="AB72" i="1" s="1"/>
  <c r="J45" i="32"/>
  <c r="U166" i="1"/>
  <c r="J48" i="32" s="1"/>
  <c r="I53" i="32"/>
  <c r="I67" i="32"/>
  <c r="I61" i="32"/>
  <c r="I42" i="32"/>
  <c r="I64" i="32" s="1"/>
  <c r="AA64" i="1"/>
  <c r="AA69" i="1"/>
  <c r="R160" i="1"/>
  <c r="G39" i="32"/>
  <c r="AA152" i="1"/>
  <c r="AB64" i="1"/>
  <c r="H45" i="32"/>
  <c r="AB160" i="1"/>
  <c r="S166" i="1"/>
  <c r="H48" i="32" s="1"/>
  <c r="S61" i="32"/>
  <c r="S42" i="32"/>
  <c r="S64" i="32" s="1"/>
  <c r="K45" i="32"/>
  <c r="V166" i="1"/>
  <c r="K48" i="32" s="1"/>
  <c r="K61" i="32"/>
  <c r="K42" i="32"/>
  <c r="K64" i="32" s="1"/>
  <c r="AD63" i="1" l="1"/>
  <c r="AC69" i="1"/>
  <c r="AC72" i="1" s="1"/>
  <c r="J67" i="32"/>
  <c r="J53" i="32"/>
  <c r="AB166" i="1"/>
  <c r="S48" i="32" s="1"/>
  <c r="S70" i="32" s="1"/>
  <c r="S45" i="32"/>
  <c r="E26" i="28"/>
  <c r="E29" i="28" s="1"/>
  <c r="AB161" i="1"/>
  <c r="H53" i="32"/>
  <c r="H67" i="32"/>
  <c r="AB127" i="1"/>
  <c r="AB70" i="1"/>
  <c r="R39" i="32"/>
  <c r="AA70" i="1"/>
  <c r="AA72" i="1"/>
  <c r="AA127" i="1"/>
  <c r="G42" i="32"/>
  <c r="G64" i="32" s="1"/>
  <c r="G61" i="32"/>
  <c r="K67" i="32"/>
  <c r="K53" i="32"/>
  <c r="R166" i="1"/>
  <c r="G48" i="32" s="1"/>
  <c r="AA160" i="1"/>
  <c r="G45" i="32"/>
  <c r="V341" i="1"/>
  <c r="V337" i="1"/>
  <c r="AE63" i="1" l="1"/>
  <c r="AD69" i="1"/>
  <c r="AD72" i="1" s="1"/>
  <c r="D14" i="28"/>
  <c r="D18" i="28" s="1"/>
  <c r="AA131" i="1"/>
  <c r="AA134" i="1" s="1"/>
  <c r="G8" i="28"/>
  <c r="AB73" i="1"/>
  <c r="AA73" i="1"/>
  <c r="F8" i="28"/>
  <c r="E14" i="28"/>
  <c r="E18" i="28" s="1"/>
  <c r="AB131" i="1"/>
  <c r="G67" i="32"/>
  <c r="G53" i="32"/>
  <c r="AA161" i="1"/>
  <c r="R45" i="32"/>
  <c r="D26" i="28"/>
  <c r="D29" i="28" s="1"/>
  <c r="AA166" i="1"/>
  <c r="R48" i="32" s="1"/>
  <c r="R70" i="32" s="1"/>
  <c r="R337" i="1"/>
  <c r="U341" i="1"/>
  <c r="S341" i="1"/>
  <c r="T337" i="1"/>
  <c r="S337" i="1"/>
  <c r="T341" i="1"/>
  <c r="U337" i="1"/>
  <c r="R341" i="1"/>
  <c r="R42" i="32"/>
  <c r="R64" i="32" s="1"/>
  <c r="R61" i="32"/>
  <c r="S53" i="32"/>
  <c r="S67" i="32"/>
  <c r="AF63" i="1" l="1"/>
  <c r="AE69" i="1"/>
  <c r="AE72" i="1" s="1"/>
  <c r="AA140" i="1"/>
  <c r="AB140" i="1"/>
  <c r="AA142" i="1"/>
  <c r="AA143" i="1"/>
  <c r="AA137" i="1"/>
  <c r="AA135" i="1"/>
  <c r="AA136" i="1"/>
  <c r="AA141" i="1"/>
  <c r="R67" i="32"/>
  <c r="R53" i="32"/>
  <c r="AB142" i="1"/>
  <c r="AB135" i="1"/>
  <c r="AB141" i="1"/>
  <c r="AB136" i="1"/>
  <c r="AB137" i="1"/>
  <c r="AB143" i="1"/>
  <c r="AB134" i="1"/>
  <c r="H8" i="28"/>
  <c r="AC73" i="1"/>
  <c r="AG63" i="1" l="1"/>
  <c r="AG69" i="1" s="1"/>
  <c r="AG72" i="1" s="1"/>
  <c r="AF69" i="1"/>
  <c r="AF72" i="1" s="1"/>
  <c r="AC127" i="1"/>
  <c r="C6" i="35" s="1"/>
  <c r="I6" i="35" s="1"/>
  <c r="AC70" i="1"/>
  <c r="AD73" i="1"/>
  <c r="I8" i="28"/>
  <c r="AD70" i="1" l="1"/>
  <c r="AD127" i="1"/>
  <c r="D6" i="35" s="1"/>
  <c r="J6" i="35" s="1"/>
  <c r="AE73" i="1"/>
  <c r="J8" i="28"/>
  <c r="AC74" i="1"/>
  <c r="F19" i="10" s="1"/>
  <c r="F23" i="10" s="1"/>
  <c r="F25" i="10" s="1"/>
  <c r="AC110" i="1" s="1"/>
  <c r="F14" i="28"/>
  <c r="AC152" i="1"/>
  <c r="C13" i="35" s="1"/>
  <c r="I13" i="35" s="1"/>
  <c r="AC153" i="1"/>
  <c r="C14" i="35" s="1"/>
  <c r="I14" i="35" s="1"/>
  <c r="AD153" i="1" l="1"/>
  <c r="D14" i="35" s="1"/>
  <c r="J14" i="35" s="1"/>
  <c r="AC111" i="1"/>
  <c r="F19" i="28"/>
  <c r="AD152" i="1"/>
  <c r="D13" i="35" s="1"/>
  <c r="J13" i="35" s="1"/>
  <c r="G14" i="28"/>
  <c r="T39" i="32"/>
  <c r="AC160" i="1"/>
  <c r="AF73" i="1"/>
  <c r="AD74" i="1"/>
  <c r="G19" i="10" s="1"/>
  <c r="G23" i="10" s="1"/>
  <c r="G25" i="10" s="1"/>
  <c r="AD110" i="1" s="1"/>
  <c r="T40" i="32"/>
  <c r="AC162" i="1"/>
  <c r="AE70" i="1"/>
  <c r="AE127" i="1"/>
  <c r="C20" i="35" l="1"/>
  <c r="C19" i="35"/>
  <c r="AF127" i="1"/>
  <c r="AF70" i="1"/>
  <c r="F27" i="28"/>
  <c r="T46" i="32"/>
  <c r="T62" i="32"/>
  <c r="AC112" i="1"/>
  <c r="AC119" i="1"/>
  <c r="AC151" i="1"/>
  <c r="C12" i="35" s="1"/>
  <c r="G19" i="28"/>
  <c r="AD111" i="1"/>
  <c r="AE153" i="1"/>
  <c r="T45" i="32"/>
  <c r="F26" i="28"/>
  <c r="H14" i="28"/>
  <c r="T61" i="32"/>
  <c r="AD162" i="1"/>
  <c r="U40" i="32"/>
  <c r="AE74" i="1"/>
  <c r="H19" i="10" s="1"/>
  <c r="H23" i="10" s="1"/>
  <c r="H25" i="10" s="1"/>
  <c r="AE110" i="1" s="1"/>
  <c r="AG73" i="1"/>
  <c r="U39" i="32"/>
  <c r="AD160" i="1"/>
  <c r="AE152" i="1"/>
  <c r="C25" i="35" l="1"/>
  <c r="I25" i="35" s="1"/>
  <c r="I19" i="35"/>
  <c r="D20" i="35"/>
  <c r="D19" i="35"/>
  <c r="C26" i="35"/>
  <c r="I26" i="35" s="1"/>
  <c r="I20" i="35"/>
  <c r="I12" i="35"/>
  <c r="C16" i="35"/>
  <c r="I16" i="35" s="1"/>
  <c r="U62" i="32"/>
  <c r="U46" i="32"/>
  <c r="G27" i="28"/>
  <c r="AF74" i="1"/>
  <c r="I19" i="10" s="1"/>
  <c r="I23" i="10" s="1"/>
  <c r="I25" i="10" s="1"/>
  <c r="AF110" i="1" s="1"/>
  <c r="AG70" i="1"/>
  <c r="AG127" i="1"/>
  <c r="AI69" i="1"/>
  <c r="T38" i="32"/>
  <c r="AC158" i="1"/>
  <c r="AC130" i="1"/>
  <c r="C9" i="35" s="1"/>
  <c r="AC120" i="1"/>
  <c r="AC122" i="1"/>
  <c r="AE111" i="1"/>
  <c r="H19" i="28"/>
  <c r="V39" i="32"/>
  <c r="V61" i="32" s="1"/>
  <c r="AE160" i="1"/>
  <c r="G26" i="28"/>
  <c r="U45" i="32"/>
  <c r="AD112" i="1"/>
  <c r="AD119" i="1"/>
  <c r="AD151" i="1"/>
  <c r="D12" i="35" s="1"/>
  <c r="I14" i="28"/>
  <c r="U61" i="32"/>
  <c r="T68" i="32"/>
  <c r="T54" i="32"/>
  <c r="AF153" i="1"/>
  <c r="AF162" i="1" s="1"/>
  <c r="I27" i="28" s="1"/>
  <c r="AF152" i="1"/>
  <c r="AF160" i="1" s="1"/>
  <c r="I26" i="28" s="1"/>
  <c r="T67" i="32"/>
  <c r="T53" i="32"/>
  <c r="V40" i="32"/>
  <c r="V62" i="32" s="1"/>
  <c r="AE162" i="1"/>
  <c r="D25" i="35" l="1"/>
  <c r="J25" i="35" s="1"/>
  <c r="J19" i="35"/>
  <c r="J20" i="35"/>
  <c r="D26" i="35"/>
  <c r="J26" i="35" s="1"/>
  <c r="D16" i="35"/>
  <c r="J16" i="35" s="1"/>
  <c r="J12" i="35"/>
  <c r="C10" i="35"/>
  <c r="I10" i="35" s="1"/>
  <c r="I9" i="35"/>
  <c r="C18" i="35"/>
  <c r="C24" i="35" s="1"/>
  <c r="I24" i="35" s="1"/>
  <c r="AG74" i="1"/>
  <c r="J19" i="10" s="1"/>
  <c r="J23" i="10" s="1"/>
  <c r="J25" i="10" s="1"/>
  <c r="AG110" i="1" s="1"/>
  <c r="V45" i="32"/>
  <c r="H26" i="28"/>
  <c r="T60" i="32"/>
  <c r="T42" i="32"/>
  <c r="T64" i="32" s="1"/>
  <c r="AE119" i="1"/>
  <c r="AE112" i="1"/>
  <c r="AE151" i="1"/>
  <c r="T44" i="32"/>
  <c r="F25" i="28"/>
  <c r="F29" i="28" s="1"/>
  <c r="AC166" i="1"/>
  <c r="T48" i="32" s="1"/>
  <c r="T70" i="32" s="1"/>
  <c r="AG152" i="1"/>
  <c r="AC184" i="1"/>
  <c r="AC292" i="1"/>
  <c r="E16" i="3"/>
  <c r="AG153" i="1"/>
  <c r="I19" i="28"/>
  <c r="AF111" i="1"/>
  <c r="U38" i="32"/>
  <c r="AD158" i="1"/>
  <c r="AD120" i="1"/>
  <c r="AD130" i="1"/>
  <c r="D9" i="35" s="1"/>
  <c r="AD122" i="1"/>
  <c r="F17" i="28"/>
  <c r="F18" i="28" s="1"/>
  <c r="AC131" i="1"/>
  <c r="AC143" i="1" s="1"/>
  <c r="J14" i="28"/>
  <c r="U54" i="32"/>
  <c r="U68" i="32"/>
  <c r="H27" i="28"/>
  <c r="V46" i="32"/>
  <c r="U53" i="32"/>
  <c r="U67" i="32"/>
  <c r="I18" i="35" l="1"/>
  <c r="C22" i="35"/>
  <c r="C28" i="35" s="1"/>
  <c r="I28" i="35" s="1"/>
  <c r="D10" i="35"/>
  <c r="J10" i="35" s="1"/>
  <c r="J9" i="35"/>
  <c r="D18" i="35"/>
  <c r="D24" i="35" s="1"/>
  <c r="J24" i="35" s="1"/>
  <c r="AG162" i="1"/>
  <c r="AI153" i="1"/>
  <c r="G17" i="28"/>
  <c r="G18" i="28" s="1"/>
  <c r="AD131" i="1"/>
  <c r="AD143" i="1" s="1"/>
  <c r="AC295" i="1"/>
  <c r="F34" i="28"/>
  <c r="E24" i="3"/>
  <c r="AE158" i="1"/>
  <c r="V38" i="32"/>
  <c r="U44" i="32"/>
  <c r="G25" i="28"/>
  <c r="G29" i="28" s="1"/>
  <c r="AD166" i="1"/>
  <c r="U48" i="32" s="1"/>
  <c r="U70" i="32" s="1"/>
  <c r="AE120" i="1"/>
  <c r="AE130" i="1"/>
  <c r="AE122" i="1"/>
  <c r="AC167" i="1"/>
  <c r="V68" i="32"/>
  <c r="V54" i="32"/>
  <c r="AD184" i="1"/>
  <c r="AD123" i="1"/>
  <c r="F16" i="3"/>
  <c r="F17" i="3" s="1"/>
  <c r="AD292" i="1"/>
  <c r="T66" i="32"/>
  <c r="T52" i="32"/>
  <c r="V53" i="32"/>
  <c r="V67" i="32"/>
  <c r="AC142" i="1"/>
  <c r="AC141" i="1"/>
  <c r="AC135" i="1"/>
  <c r="AC136" i="1"/>
  <c r="AC140" i="1"/>
  <c r="AC134" i="1"/>
  <c r="U60" i="32"/>
  <c r="U42" i="32"/>
  <c r="U64" i="32" s="1"/>
  <c r="AG160" i="1"/>
  <c r="AI152" i="1"/>
  <c r="AC137" i="1"/>
  <c r="AF119" i="1"/>
  <c r="AF112" i="1"/>
  <c r="AF151" i="1"/>
  <c r="AF158" i="1" s="1"/>
  <c r="E22" i="3"/>
  <c r="AC258" i="1"/>
  <c r="AG111" i="1"/>
  <c r="J19" i="28"/>
  <c r="I22" i="35" l="1"/>
  <c r="D22" i="35"/>
  <c r="D28" i="35" s="1"/>
  <c r="J28" i="35" s="1"/>
  <c r="J18" i="35"/>
  <c r="AD137" i="1"/>
  <c r="I25" i="28"/>
  <c r="I29" i="28" s="1"/>
  <c r="AF166" i="1"/>
  <c r="F22" i="3"/>
  <c r="AD258" i="1"/>
  <c r="V60" i="32"/>
  <c r="V42" i="32"/>
  <c r="V64" i="32" s="1"/>
  <c r="AD167" i="1"/>
  <c r="V44" i="32"/>
  <c r="AE166" i="1"/>
  <c r="V48" i="32" s="1"/>
  <c r="V70" i="32" s="1"/>
  <c r="H25" i="28"/>
  <c r="H29" i="28" s="1"/>
  <c r="AF120" i="1"/>
  <c r="AF130" i="1"/>
  <c r="AF122" i="1"/>
  <c r="G34" i="28"/>
  <c r="AD327" i="1"/>
  <c r="F24" i="3"/>
  <c r="AD295" i="1"/>
  <c r="AI111" i="1"/>
  <c r="AG112" i="1"/>
  <c r="AG119" i="1"/>
  <c r="AG151" i="1"/>
  <c r="U66" i="32"/>
  <c r="U52" i="32"/>
  <c r="J26" i="28"/>
  <c r="AI160" i="1"/>
  <c r="AE292" i="1"/>
  <c r="AE123" i="1"/>
  <c r="G16" i="3"/>
  <c r="G17" i="3" s="1"/>
  <c r="AE184" i="1"/>
  <c r="H17" i="28"/>
  <c r="H18" i="28" s="1"/>
  <c r="AE131" i="1"/>
  <c r="AE137" i="1" s="1"/>
  <c r="AD136" i="1"/>
  <c r="AD142" i="1"/>
  <c r="AD141" i="1"/>
  <c r="AD135" i="1"/>
  <c r="AD134" i="1"/>
  <c r="AD140" i="1"/>
  <c r="J27" i="28"/>
  <c r="AI162" i="1"/>
  <c r="J22" i="35" l="1"/>
  <c r="AE143" i="1"/>
  <c r="V52" i="32"/>
  <c r="V66" i="32"/>
  <c r="AE295" i="1"/>
  <c r="G24" i="3"/>
  <c r="H34" i="28"/>
  <c r="AE327" i="1"/>
  <c r="I17" i="28"/>
  <c r="I18" i="28" s="1"/>
  <c r="AF131" i="1"/>
  <c r="AF143" i="1" s="1"/>
  <c r="AI119" i="1"/>
  <c r="AG120" i="1"/>
  <c r="AG130" i="1"/>
  <c r="AG122" i="1"/>
  <c r="AE167" i="1"/>
  <c r="AF292" i="1"/>
  <c r="AF123" i="1"/>
  <c r="H16" i="3"/>
  <c r="H17" i="3" s="1"/>
  <c r="AF184" i="1"/>
  <c r="AF167" i="1"/>
  <c r="AI151" i="1"/>
  <c r="AG158" i="1"/>
  <c r="G22" i="3"/>
  <c r="AE258" i="1"/>
  <c r="AE135" i="1"/>
  <c r="AE142" i="1"/>
  <c r="AE141" i="1"/>
  <c r="AE136" i="1"/>
  <c r="AE140" i="1"/>
  <c r="AE134" i="1"/>
  <c r="J25" i="28" l="1"/>
  <c r="J29" i="28" s="1"/>
  <c r="AI158" i="1"/>
  <c r="AG166" i="1"/>
  <c r="H22" i="3"/>
  <c r="AF258" i="1"/>
  <c r="AF295" i="1"/>
  <c r="I34" i="28"/>
  <c r="H24" i="3"/>
  <c r="AF327" i="1"/>
  <c r="AF135" i="1"/>
  <c r="AF141" i="1"/>
  <c r="AF142" i="1"/>
  <c r="AF136" i="1"/>
  <c r="AF140" i="1"/>
  <c r="AF134" i="1"/>
  <c r="AG292" i="1"/>
  <c r="AG184" i="1"/>
  <c r="AG123" i="1"/>
  <c r="I16" i="3"/>
  <c r="J17" i="28"/>
  <c r="J18" i="28" s="1"/>
  <c r="AG131" i="1"/>
  <c r="AG137" i="1" s="1"/>
  <c r="AF137" i="1"/>
  <c r="AG143" i="1" l="1"/>
  <c r="AG167" i="1"/>
  <c r="AI166" i="1"/>
  <c r="AG258" i="1"/>
  <c r="I22" i="3"/>
  <c r="J22" i="3" s="1"/>
  <c r="AG327" i="1"/>
  <c r="J34" i="28"/>
  <c r="I24" i="3"/>
  <c r="J24" i="3" s="1"/>
  <c r="AG295" i="1"/>
  <c r="AG141" i="1"/>
  <c r="AG135" i="1"/>
  <c r="AG142" i="1"/>
  <c r="AG136" i="1"/>
  <c r="AG140" i="1"/>
  <c r="AG134" i="1"/>
  <c r="J16" i="3"/>
  <c r="I17" i="3"/>
  <c r="T127" i="1"/>
  <c r="T131" i="1" s="1"/>
  <c r="T136" i="1" s="1"/>
  <c r="U127" i="1"/>
  <c r="U131" i="1" s="1"/>
  <c r="U135" i="1" s="1"/>
  <c r="V127" i="1"/>
  <c r="V131" i="1" s="1"/>
  <c r="V135" i="1" s="1"/>
  <c r="S127" i="1"/>
  <c r="R127" i="1"/>
  <c r="R131" i="1" s="1"/>
  <c r="T72" i="1"/>
  <c r="T122" i="1"/>
  <c r="T184" i="1" s="1"/>
  <c r="T258" i="1" s="1"/>
  <c r="V72" i="1"/>
  <c r="V122" i="1"/>
  <c r="V212" i="1" s="1"/>
  <c r="U72" i="1"/>
  <c r="U122" i="1"/>
  <c r="R72" i="1"/>
  <c r="R122" i="1"/>
  <c r="R123" i="1" s="1"/>
  <c r="S72" i="1"/>
  <c r="S122" i="1"/>
  <c r="S169" i="1" s="1"/>
  <c r="S171" i="1" s="1"/>
  <c r="H49" i="32" s="1"/>
  <c r="R169" i="1" l="1"/>
  <c r="AA169" i="1" s="1"/>
  <c r="AA171" i="1" s="1"/>
  <c r="V229" i="1"/>
  <c r="AB229" i="1" s="1"/>
  <c r="AB122" i="1"/>
  <c r="AC123" i="1" s="1"/>
  <c r="R215" i="1"/>
  <c r="AA215" i="1" s="1"/>
  <c r="R184" i="1"/>
  <c r="R258" i="1" s="1"/>
  <c r="AA258" i="1" s="1"/>
  <c r="U134" i="1"/>
  <c r="U136" i="1"/>
  <c r="R167" i="1"/>
  <c r="V134" i="1"/>
  <c r="U137" i="1"/>
  <c r="H71" i="32"/>
  <c r="H56" i="32"/>
  <c r="U215" i="1"/>
  <c r="U123" i="1"/>
  <c r="U184" i="1"/>
  <c r="U258" i="1" s="1"/>
  <c r="U228" i="1"/>
  <c r="U229" i="1"/>
  <c r="U231" i="1"/>
  <c r="U178" i="1"/>
  <c r="U167" i="1"/>
  <c r="U292" i="1"/>
  <c r="U176" i="1"/>
  <c r="U169" i="1"/>
  <c r="U171" i="1" s="1"/>
  <c r="R134" i="1"/>
  <c r="T229" i="1"/>
  <c r="T167" i="1"/>
  <c r="T169" i="1"/>
  <c r="T176" i="1"/>
  <c r="T215" i="1"/>
  <c r="T231" i="1"/>
  <c r="T212" i="1"/>
  <c r="T123" i="1"/>
  <c r="T178" i="1"/>
  <c r="T228" i="1"/>
  <c r="T292" i="1"/>
  <c r="V231" i="1"/>
  <c r="V178" i="1"/>
  <c r="V228" i="1"/>
  <c r="V176" i="1"/>
  <c r="V167" i="1"/>
  <c r="V123" i="1"/>
  <c r="V215" i="1"/>
  <c r="AB215" i="1" s="1"/>
  <c r="V184" i="1"/>
  <c r="V258" i="1" s="1"/>
  <c r="V169" i="1"/>
  <c r="V171" i="1" s="1"/>
  <c r="V292" i="1"/>
  <c r="S229" i="1"/>
  <c r="S176" i="1"/>
  <c r="S184" i="1"/>
  <c r="S228" i="1"/>
  <c r="S215" i="1"/>
  <c r="S212" i="1"/>
  <c r="S123" i="1"/>
  <c r="S231" i="1"/>
  <c r="S167" i="1"/>
  <c r="S292" i="1"/>
  <c r="S344" i="1" s="1"/>
  <c r="S345" i="1" s="1"/>
  <c r="S178" i="1"/>
  <c r="R135" i="1"/>
  <c r="R137" i="1"/>
  <c r="R136" i="1"/>
  <c r="S172" i="1"/>
  <c r="AB212" i="1"/>
  <c r="U212" i="1"/>
  <c r="S131" i="1"/>
  <c r="S134" i="1" s="1"/>
  <c r="T135" i="1"/>
  <c r="T134" i="1"/>
  <c r="R178" i="1"/>
  <c r="AA178" i="1" s="1"/>
  <c r="R176" i="1"/>
  <c r="AA176" i="1" s="1"/>
  <c r="R212" i="1"/>
  <c r="R231" i="1"/>
  <c r="AA122" i="1"/>
  <c r="R228" i="1"/>
  <c r="T137" i="1"/>
  <c r="R292" i="1"/>
  <c r="R229" i="1"/>
  <c r="V137" i="1"/>
  <c r="V136" i="1"/>
  <c r="AB123" i="1" l="1"/>
  <c r="AA184" i="1"/>
  <c r="C22" i="3" s="1"/>
  <c r="R270" i="1"/>
  <c r="AA270" i="1" s="1"/>
  <c r="D16" i="3"/>
  <c r="E17" i="3" s="1"/>
  <c r="U270" i="1"/>
  <c r="V273" i="1"/>
  <c r="AB313" i="1"/>
  <c r="AC313" i="1" s="1"/>
  <c r="AD313" i="1" s="1"/>
  <c r="R171" i="1"/>
  <c r="G49" i="32" s="1"/>
  <c r="AB167" i="1"/>
  <c r="U174" i="1"/>
  <c r="U186" i="1" s="1"/>
  <c r="U193" i="1" s="1"/>
  <c r="V174" i="1"/>
  <c r="V181" i="1" s="1"/>
  <c r="V182" i="1" s="1"/>
  <c r="T270" i="1"/>
  <c r="T273" i="1"/>
  <c r="S272" i="1"/>
  <c r="U272" i="1"/>
  <c r="U274" i="1"/>
  <c r="V344" i="1"/>
  <c r="V345" i="1" s="1"/>
  <c r="K49" i="32"/>
  <c r="V172" i="1"/>
  <c r="S136" i="1"/>
  <c r="S137" i="1"/>
  <c r="S135" i="1"/>
  <c r="AB178" i="1"/>
  <c r="AB179" i="1" s="1"/>
  <c r="AC179" i="1" s="1"/>
  <c r="U273" i="1"/>
  <c r="AB308" i="1"/>
  <c r="AC308" i="1" s="1"/>
  <c r="U268" i="1"/>
  <c r="S270" i="1"/>
  <c r="S174" i="1"/>
  <c r="S258" i="1"/>
  <c r="AB258" i="1" s="1"/>
  <c r="AB326" i="1" s="1"/>
  <c r="AB184" i="1"/>
  <c r="D22" i="3" s="1"/>
  <c r="U344" i="1"/>
  <c r="U345" i="1" s="1"/>
  <c r="U172" i="1"/>
  <c r="J49" i="32"/>
  <c r="U338" i="1"/>
  <c r="AA292" i="1"/>
  <c r="AA344" i="1" s="1"/>
  <c r="AA345" i="1" s="1"/>
  <c r="R327" i="1"/>
  <c r="R295" i="1"/>
  <c r="AA295" i="1" s="1"/>
  <c r="R218" i="1"/>
  <c r="S338" i="1"/>
  <c r="R338" i="1"/>
  <c r="T338" i="1"/>
  <c r="V268" i="1"/>
  <c r="AB176" i="1"/>
  <c r="AB177" i="1" s="1"/>
  <c r="AC177" i="1" s="1"/>
  <c r="T327" i="1"/>
  <c r="T295" i="1"/>
  <c r="T274" i="1"/>
  <c r="AA231" i="1"/>
  <c r="AA314" i="1" s="1"/>
  <c r="R274" i="1"/>
  <c r="AA274" i="1" s="1"/>
  <c r="R268" i="1"/>
  <c r="AA268" i="1" s="1"/>
  <c r="S268" i="1"/>
  <c r="AA212" i="1"/>
  <c r="AA177" i="1"/>
  <c r="AA185" i="1"/>
  <c r="AA179" i="1"/>
  <c r="AA337" i="1"/>
  <c r="R49" i="32"/>
  <c r="AA172" i="1"/>
  <c r="D31" i="28"/>
  <c r="AA341" i="1"/>
  <c r="AA326" i="1"/>
  <c r="S274" i="1"/>
  <c r="S273" i="1"/>
  <c r="T272" i="1"/>
  <c r="U295" i="1"/>
  <c r="U327" i="1"/>
  <c r="V270" i="1"/>
  <c r="AA123" i="1"/>
  <c r="AA167" i="1"/>
  <c r="C16" i="3"/>
  <c r="AI122" i="1"/>
  <c r="T268" i="1"/>
  <c r="AB228" i="1"/>
  <c r="AB312" i="1" s="1"/>
  <c r="AC312" i="1" s="1"/>
  <c r="V272" i="1"/>
  <c r="T171" i="1"/>
  <c r="AB169" i="1"/>
  <c r="S327" i="1"/>
  <c r="V338" i="1"/>
  <c r="S295" i="1"/>
  <c r="AB292" i="1"/>
  <c r="V274" i="1"/>
  <c r="AB231" i="1"/>
  <c r="AB314" i="1" s="1"/>
  <c r="AA229" i="1"/>
  <c r="AA313" i="1" s="1"/>
  <c r="R273" i="1"/>
  <c r="AA273" i="1" s="1"/>
  <c r="AA228" i="1"/>
  <c r="AA312" i="1" s="1"/>
  <c r="R272" i="1"/>
  <c r="AA272" i="1" s="1"/>
  <c r="AB306" i="1"/>
  <c r="AC306" i="1" s="1"/>
  <c r="AA170" i="1"/>
  <c r="V327" i="1"/>
  <c r="V295" i="1"/>
  <c r="AA308" i="1"/>
  <c r="AD177" i="1" l="1"/>
  <c r="AC176" i="1"/>
  <c r="AD179" i="1"/>
  <c r="AC178" i="1"/>
  <c r="D17" i="3"/>
  <c r="R174" i="1"/>
  <c r="R181" i="1" s="1"/>
  <c r="R182" i="1" s="1"/>
  <c r="R172" i="1"/>
  <c r="U175" i="1"/>
  <c r="U227" i="1"/>
  <c r="U233" i="1" s="1"/>
  <c r="U239" i="1" s="1"/>
  <c r="AC229" i="1"/>
  <c r="AC273" i="1" s="1"/>
  <c r="R344" i="1"/>
  <c r="R345" i="1" s="1"/>
  <c r="U187" i="1"/>
  <c r="U214" i="1"/>
  <c r="U181" i="1"/>
  <c r="U182" i="1" s="1"/>
  <c r="G71" i="32"/>
  <c r="G56" i="32"/>
  <c r="V186" i="1"/>
  <c r="V193" i="1" s="1"/>
  <c r="V227" i="1"/>
  <c r="V233" i="1" s="1"/>
  <c r="V239" i="1" s="1"/>
  <c r="V175" i="1"/>
  <c r="AA338" i="1"/>
  <c r="V214" i="1"/>
  <c r="AB214" i="1" s="1"/>
  <c r="AC314" i="1"/>
  <c r="AC231" i="1" s="1"/>
  <c r="AC274" i="1" s="1"/>
  <c r="AB272" i="1"/>
  <c r="AB273" i="1"/>
  <c r="J56" i="32"/>
  <c r="J71" i="32"/>
  <c r="K56" i="32"/>
  <c r="K71" i="32"/>
  <c r="T172" i="1"/>
  <c r="I49" i="32"/>
  <c r="T344" i="1"/>
  <c r="T345" i="1" s="1"/>
  <c r="T174" i="1"/>
  <c r="AB174" i="1" s="1"/>
  <c r="R71" i="32"/>
  <c r="R56" i="32"/>
  <c r="AB268" i="1"/>
  <c r="S227" i="1"/>
  <c r="S175" i="1"/>
  <c r="S214" i="1"/>
  <c r="S181" i="1"/>
  <c r="S182" i="1" s="1"/>
  <c r="S186" i="1"/>
  <c r="D32" i="28"/>
  <c r="AA218" i="1"/>
  <c r="S218" i="1"/>
  <c r="AA306" i="1"/>
  <c r="AD312" i="1"/>
  <c r="AC228" i="1"/>
  <c r="AC272" i="1" s="1"/>
  <c r="AC327" i="1"/>
  <c r="AB327" i="1"/>
  <c r="D24" i="3"/>
  <c r="E34" i="28"/>
  <c r="AB325" i="1"/>
  <c r="C24" i="3"/>
  <c r="D34" i="28"/>
  <c r="D36" i="28" s="1"/>
  <c r="D37" i="28" s="1"/>
  <c r="AA327" i="1"/>
  <c r="AA325" i="1"/>
  <c r="AB171" i="1"/>
  <c r="AB170" i="1"/>
  <c r="AC170" i="1" s="1"/>
  <c r="AD308" i="1"/>
  <c r="AC215" i="1"/>
  <c r="AB274" i="1"/>
  <c r="AD229" i="1"/>
  <c r="AE313" i="1"/>
  <c r="AC212" i="1"/>
  <c r="AD306" i="1"/>
  <c r="AB295" i="1"/>
  <c r="AB270" i="1"/>
  <c r="U194" i="1"/>
  <c r="U198" i="1" s="1"/>
  <c r="AE179" i="1" l="1"/>
  <c r="AD178" i="1"/>
  <c r="AE177" i="1"/>
  <c r="AD176" i="1"/>
  <c r="AA174" i="1"/>
  <c r="AA181" i="1" s="1"/>
  <c r="U316" i="1"/>
  <c r="R227" i="1"/>
  <c r="AA227" i="1" s="1"/>
  <c r="R186" i="1"/>
  <c r="R193" i="1" s="1"/>
  <c r="R175" i="1"/>
  <c r="R214" i="1"/>
  <c r="S269" i="1" s="1"/>
  <c r="V269" i="1"/>
  <c r="AD273" i="1"/>
  <c r="V187" i="1"/>
  <c r="V316" i="1"/>
  <c r="V271" i="1"/>
  <c r="AB227" i="1"/>
  <c r="AB311" i="1" s="1"/>
  <c r="AC311" i="1" s="1"/>
  <c r="AD311" i="1" s="1"/>
  <c r="AE311" i="1" s="1"/>
  <c r="AF311" i="1" s="1"/>
  <c r="AG311" i="1" s="1"/>
  <c r="AD314" i="1"/>
  <c r="AE314" i="1" s="1"/>
  <c r="AB307" i="1"/>
  <c r="AC307" i="1" s="1"/>
  <c r="AD307" i="1" s="1"/>
  <c r="AE307" i="1" s="1"/>
  <c r="AF307" i="1" s="1"/>
  <c r="AG307" i="1" s="1"/>
  <c r="AD228" i="1"/>
  <c r="AD272" i="1" s="1"/>
  <c r="AE312" i="1"/>
  <c r="AB175" i="1"/>
  <c r="AB181" i="1"/>
  <c r="AB186" i="1"/>
  <c r="I71" i="32"/>
  <c r="I56" i="32"/>
  <c r="S233" i="1"/>
  <c r="S239" i="1" s="1"/>
  <c r="V194" i="1"/>
  <c r="V198" i="1" s="1"/>
  <c r="AE229" i="1"/>
  <c r="AE273" i="1" s="1"/>
  <c r="AF313" i="1"/>
  <c r="T175" i="1"/>
  <c r="T214" i="1"/>
  <c r="T227" i="1"/>
  <c r="T186" i="1"/>
  <c r="T181" i="1"/>
  <c r="T182" i="1" s="1"/>
  <c r="AC270" i="1"/>
  <c r="AD212" i="1"/>
  <c r="AD268" i="1" s="1"/>
  <c r="AE306" i="1"/>
  <c r="AD215" i="1"/>
  <c r="AD270" i="1" s="1"/>
  <c r="AE308" i="1"/>
  <c r="T218" i="1"/>
  <c r="AC268" i="1"/>
  <c r="U200" i="1"/>
  <c r="U203" i="1"/>
  <c r="U256" i="1"/>
  <c r="S193" i="1"/>
  <c r="S187" i="1"/>
  <c r="E31" i="28"/>
  <c r="AB341" i="1"/>
  <c r="AB172" i="1"/>
  <c r="S49" i="32"/>
  <c r="AB338" i="1"/>
  <c r="AB344" i="1"/>
  <c r="AB345" i="1" s="1"/>
  <c r="AB337" i="1"/>
  <c r="S316" i="1"/>
  <c r="AD170" i="1"/>
  <c r="AC169" i="1"/>
  <c r="AC171" i="1" s="1"/>
  <c r="V317" i="1" l="1"/>
  <c r="R269" i="1"/>
  <c r="AA269" i="1" s="1"/>
  <c r="AA214" i="1"/>
  <c r="AA307" i="1" s="1"/>
  <c r="AA175" i="1"/>
  <c r="R187" i="1"/>
  <c r="AF177" i="1"/>
  <c r="AE176" i="1"/>
  <c r="AF179" i="1"/>
  <c r="AE178" i="1"/>
  <c r="AA186" i="1"/>
  <c r="AA187" i="1" s="1"/>
  <c r="R233" i="1"/>
  <c r="R239" i="1" s="1"/>
  <c r="R271" i="1"/>
  <c r="AA271" i="1" s="1"/>
  <c r="AD231" i="1"/>
  <c r="AD274" i="1" s="1"/>
  <c r="R316" i="1"/>
  <c r="S317" i="1" s="1"/>
  <c r="S271" i="1"/>
  <c r="AB233" i="1"/>
  <c r="AB239" i="1" s="1"/>
  <c r="AB316" i="1"/>
  <c r="V200" i="1"/>
  <c r="V203" i="1"/>
  <c r="V256" i="1"/>
  <c r="V277" i="1" s="1"/>
  <c r="V298" i="1" s="1"/>
  <c r="D6" i="29"/>
  <c r="D12" i="29" s="1"/>
  <c r="AC344" i="1"/>
  <c r="AC345" i="1" s="1"/>
  <c r="F31" i="28"/>
  <c r="T49" i="32"/>
  <c r="AC337" i="1"/>
  <c r="AC338" i="1"/>
  <c r="AC172" i="1"/>
  <c r="AC174" i="1"/>
  <c r="AC341" i="1"/>
  <c r="D19" i="3"/>
  <c r="AB193" i="1"/>
  <c r="AB187" i="1"/>
  <c r="AE170" i="1"/>
  <c r="AD169" i="1"/>
  <c r="AD171" i="1" s="1"/>
  <c r="U269" i="1"/>
  <c r="T316" i="1"/>
  <c r="U317" i="1" s="1"/>
  <c r="R194" i="1"/>
  <c r="AA194" i="1" s="1"/>
  <c r="AA311" i="1"/>
  <c r="AA233" i="1"/>
  <c r="AA239" i="1" s="1"/>
  <c r="AE228" i="1"/>
  <c r="AE272" i="1" s="1"/>
  <c r="AF312" i="1"/>
  <c r="D21" i="28"/>
  <c r="D22" i="28" s="1"/>
  <c r="AA182" i="1"/>
  <c r="AE231" i="1"/>
  <c r="AF314" i="1"/>
  <c r="U218" i="1"/>
  <c r="S194" i="1"/>
  <c r="S198" i="1" s="1"/>
  <c r="AE212" i="1"/>
  <c r="AE268" i="1" s="1"/>
  <c r="AF306" i="1"/>
  <c r="AG313" i="1"/>
  <c r="AG229" i="1" s="1"/>
  <c r="AF229" i="1"/>
  <c r="AF273" i="1" s="1"/>
  <c r="E21" i="28"/>
  <c r="E22" i="28" s="1"/>
  <c r="AB182" i="1"/>
  <c r="S56" i="32"/>
  <c r="S71" i="32"/>
  <c r="E36" i="28"/>
  <c r="E37" i="28" s="1"/>
  <c r="E32" i="28"/>
  <c r="AE215" i="1"/>
  <c r="AF308" i="1"/>
  <c r="T271" i="1"/>
  <c r="T233" i="1"/>
  <c r="T239" i="1" s="1"/>
  <c r="U271" i="1"/>
  <c r="U321" i="1"/>
  <c r="U204" i="1"/>
  <c r="T269" i="1"/>
  <c r="T187" i="1"/>
  <c r="T193" i="1"/>
  <c r="AA193" i="1" l="1"/>
  <c r="AA196" i="1" s="1"/>
  <c r="R317" i="1"/>
  <c r="AA316" i="1"/>
  <c r="AA317" i="1" s="1"/>
  <c r="C25" i="3" s="1"/>
  <c r="C19" i="3"/>
  <c r="C20" i="3" s="1"/>
  <c r="AG179" i="1"/>
  <c r="AG178" i="1" s="1"/>
  <c r="AI178" i="1" s="1"/>
  <c r="AF178" i="1"/>
  <c r="AG177" i="1"/>
  <c r="AG176" i="1" s="1"/>
  <c r="AI176" i="1" s="1"/>
  <c r="AF176" i="1"/>
  <c r="U277" i="1"/>
  <c r="U298" i="1" s="1"/>
  <c r="AE274" i="1"/>
  <c r="AB269" i="1"/>
  <c r="T317" i="1"/>
  <c r="R198" i="1"/>
  <c r="R256" i="1" s="1"/>
  <c r="AF170" i="1"/>
  <c r="AE169" i="1"/>
  <c r="AE171" i="1" s="1"/>
  <c r="AE270" i="1"/>
  <c r="S203" i="1"/>
  <c r="S200" i="1"/>
  <c r="S256" i="1"/>
  <c r="AC175" i="1"/>
  <c r="AC227" i="1"/>
  <c r="AC181" i="1"/>
  <c r="AC214" i="1"/>
  <c r="AC186" i="1"/>
  <c r="T71" i="32"/>
  <c r="T73" i="32" s="1"/>
  <c r="T56" i="32"/>
  <c r="AB271" i="1"/>
  <c r="D23" i="3"/>
  <c r="D20" i="3"/>
  <c r="V218" i="1"/>
  <c r="AG312" i="1"/>
  <c r="AG228" i="1" s="1"/>
  <c r="AF228" i="1"/>
  <c r="AF272" i="1" s="1"/>
  <c r="AG273" i="1"/>
  <c r="V321" i="1"/>
  <c r="V204" i="1"/>
  <c r="F32" i="28"/>
  <c r="F36" i="28"/>
  <c r="F37" i="28" s="1"/>
  <c r="T194" i="1"/>
  <c r="T198" i="1" s="1"/>
  <c r="AG308" i="1"/>
  <c r="AG215" i="1" s="1"/>
  <c r="AF215" i="1"/>
  <c r="AG306" i="1"/>
  <c r="AG212" i="1" s="1"/>
  <c r="AF212" i="1"/>
  <c r="AF268" i="1" s="1"/>
  <c r="AG314" i="1"/>
  <c r="AG231" i="1" s="1"/>
  <c r="AF231" i="1"/>
  <c r="AF274" i="1" s="1"/>
  <c r="U49" i="32"/>
  <c r="AD341" i="1"/>
  <c r="AD338" i="1"/>
  <c r="AD337" i="1"/>
  <c r="AD172" i="1"/>
  <c r="AF3" i="12" s="1"/>
  <c r="G31" i="28"/>
  <c r="AD174" i="1"/>
  <c r="E6" i="29"/>
  <c r="AD344" i="1"/>
  <c r="AD345" i="1" s="1"/>
  <c r="E12" i="29" l="1"/>
  <c r="F6" i="29"/>
  <c r="F12" i="29" s="1"/>
  <c r="AA198" i="1"/>
  <c r="AB317" i="1"/>
  <c r="D25" i="3" s="1"/>
  <c r="D26" i="3" s="1"/>
  <c r="D27" i="3" s="1"/>
  <c r="D31" i="3" s="1"/>
  <c r="C23" i="3"/>
  <c r="C26" i="3" s="1"/>
  <c r="C27" i="3" s="1"/>
  <c r="R246" i="1"/>
  <c r="S246" i="1" s="1"/>
  <c r="R200" i="1"/>
  <c r="R203" i="1"/>
  <c r="R204" i="1" s="1"/>
  <c r="AG272" i="1"/>
  <c r="T200" i="1"/>
  <c r="T256" i="1"/>
  <c r="T277" i="1" s="1"/>
  <c r="T298" i="1" s="1"/>
  <c r="T203" i="1"/>
  <c r="AC187" i="1"/>
  <c r="E19" i="3"/>
  <c r="AC193" i="1"/>
  <c r="AD214" i="1"/>
  <c r="AD227" i="1"/>
  <c r="AD186" i="1"/>
  <c r="AD181" i="1"/>
  <c r="AD175" i="1"/>
  <c r="F21" i="28"/>
  <c r="F22" i="28" s="1"/>
  <c r="AC182" i="1"/>
  <c r="AA256" i="1"/>
  <c r="R277" i="1"/>
  <c r="AC271" i="1"/>
  <c r="AC233" i="1"/>
  <c r="AC239" i="1" s="1"/>
  <c r="AE172" i="1"/>
  <c r="H31" i="28"/>
  <c r="AE341" i="1"/>
  <c r="V49" i="32"/>
  <c r="AE174" i="1"/>
  <c r="AE338" i="1"/>
  <c r="AE337" i="1"/>
  <c r="AE344" i="1"/>
  <c r="AE345" i="1" s="1"/>
  <c r="AG270" i="1"/>
  <c r="AA200" i="1"/>
  <c r="AA203" i="1"/>
  <c r="AG170" i="1"/>
  <c r="AG169" i="1" s="1"/>
  <c r="AG171" i="1" s="1"/>
  <c r="AF169" i="1"/>
  <c r="AF171" i="1" s="1"/>
  <c r="AB194" i="1"/>
  <c r="S277" i="1"/>
  <c r="AG274" i="1"/>
  <c r="S204" i="1"/>
  <c r="S321" i="1"/>
  <c r="AG268" i="1"/>
  <c r="AF270" i="1"/>
  <c r="AB218" i="1"/>
  <c r="AC269" i="1"/>
  <c r="AC316" i="1"/>
  <c r="G36" i="28"/>
  <c r="G37" i="28" s="1"/>
  <c r="G32" i="28"/>
  <c r="U71" i="32"/>
  <c r="U73" i="32" s="1"/>
  <c r="U56" i="32"/>
  <c r="R321" i="1" l="1"/>
  <c r="R248" i="1"/>
  <c r="AA248" i="1" s="1"/>
  <c r="AA246" i="1"/>
  <c r="AB256" i="1"/>
  <c r="J31" i="28"/>
  <c r="AG344" i="1"/>
  <c r="AG345" i="1" s="1"/>
  <c r="AG337" i="1"/>
  <c r="AG174" i="1"/>
  <c r="AG338" i="1"/>
  <c r="AG172" i="1"/>
  <c r="AG341" i="1"/>
  <c r="AI171" i="1"/>
  <c r="G21" i="28"/>
  <c r="G22" i="28" s="1"/>
  <c r="AD182" i="1"/>
  <c r="AE3" i="12" s="1"/>
  <c r="AD316" i="1"/>
  <c r="AD317" i="1" s="1"/>
  <c r="F25" i="3" s="1"/>
  <c r="AC317" i="1"/>
  <c r="E25" i="3" s="1"/>
  <c r="AB277" i="1"/>
  <c r="AB298" i="1" s="1"/>
  <c r="S298" i="1"/>
  <c r="AB196" i="1"/>
  <c r="AC196" i="1" s="1"/>
  <c r="AB198" i="1"/>
  <c r="AD269" i="1"/>
  <c r="T321" i="1"/>
  <c r="T204" i="1"/>
  <c r="AC218" i="1"/>
  <c r="AA204" i="1"/>
  <c r="AA321" i="1"/>
  <c r="AE181" i="1"/>
  <c r="AE175" i="1"/>
  <c r="AE227" i="1"/>
  <c r="AE214" i="1"/>
  <c r="AE186" i="1"/>
  <c r="AA277" i="1"/>
  <c r="AA298" i="1" s="1"/>
  <c r="AA300" i="1" s="1"/>
  <c r="AB299" i="1" s="1"/>
  <c r="R298" i="1"/>
  <c r="R300" i="1" s="1"/>
  <c r="AD187" i="1"/>
  <c r="F19" i="3"/>
  <c r="AD193" i="1"/>
  <c r="H32" i="28"/>
  <c r="H36" i="28"/>
  <c r="H37" i="28" s="1"/>
  <c r="E23" i="3"/>
  <c r="E20" i="3"/>
  <c r="I31" i="28"/>
  <c r="AF337" i="1"/>
  <c r="AF344" i="1"/>
  <c r="AF345" i="1" s="1"/>
  <c r="AF172" i="1"/>
  <c r="AF341" i="1"/>
  <c r="AF174" i="1"/>
  <c r="AF338" i="1"/>
  <c r="S248" i="1"/>
  <c r="T246" i="1"/>
  <c r="V71" i="32"/>
  <c r="V73" i="32" s="1"/>
  <c r="V56" i="32"/>
  <c r="AD233" i="1"/>
  <c r="AD239" i="1" s="1"/>
  <c r="AD271" i="1"/>
  <c r="R249" i="1" l="1"/>
  <c r="R333" i="1"/>
  <c r="E26" i="3"/>
  <c r="E27" i="3" s="1"/>
  <c r="E31" i="3" s="1"/>
  <c r="R211" i="1"/>
  <c r="S299" i="1"/>
  <c r="S300" i="1" s="1"/>
  <c r="AF214" i="1"/>
  <c r="AF269" i="1" s="1"/>
  <c r="AF175" i="1"/>
  <c r="AF186" i="1"/>
  <c r="AF227" i="1"/>
  <c r="AF181" i="1"/>
  <c r="AE187" i="1"/>
  <c r="G19" i="3"/>
  <c r="AE193" i="1"/>
  <c r="AA333" i="1"/>
  <c r="AA249" i="1"/>
  <c r="S333" i="1"/>
  <c r="S249" i="1"/>
  <c r="AC194" i="1"/>
  <c r="AC198" i="1" s="1"/>
  <c r="AD196" i="1"/>
  <c r="AD218" i="1"/>
  <c r="AE316" i="1"/>
  <c r="AE317" i="1" s="1"/>
  <c r="G25" i="3" s="1"/>
  <c r="F20" i="3"/>
  <c r="F23" i="3"/>
  <c r="F26" i="3" s="1"/>
  <c r="F27" i="3" s="1"/>
  <c r="F31" i="3" s="1"/>
  <c r="AE182" i="1"/>
  <c r="H21" i="28"/>
  <c r="H22" i="28" s="1"/>
  <c r="AB203" i="1"/>
  <c r="AB200" i="1"/>
  <c r="J36" i="28"/>
  <c r="J37" i="28" s="1"/>
  <c r="J32" i="28"/>
  <c r="AB300" i="1"/>
  <c r="AC299" i="1" s="1"/>
  <c r="AE271" i="1"/>
  <c r="AE233" i="1"/>
  <c r="AE239" i="1" s="1"/>
  <c r="T248" i="1"/>
  <c r="U246" i="1"/>
  <c r="I36" i="28"/>
  <c r="I37" i="28" s="1"/>
  <c r="I32" i="28"/>
  <c r="AE269" i="1"/>
  <c r="AG227" i="1"/>
  <c r="AG181" i="1"/>
  <c r="AG186" i="1"/>
  <c r="AG175" i="1"/>
  <c r="AG214" i="1"/>
  <c r="AI174" i="1"/>
  <c r="AG316" i="1" l="1"/>
  <c r="S211" i="1"/>
  <c r="T299" i="1"/>
  <c r="T300" i="1" s="1"/>
  <c r="T333" i="1"/>
  <c r="T249" i="1"/>
  <c r="AB204" i="1"/>
  <c r="AB321" i="1"/>
  <c r="AF182" i="1"/>
  <c r="I21" i="28"/>
  <c r="I22" i="28" s="1"/>
  <c r="AG187" i="1"/>
  <c r="I19" i="3"/>
  <c r="AG193" i="1"/>
  <c r="AI186" i="1"/>
  <c r="AF271" i="1"/>
  <c r="AF233" i="1"/>
  <c r="AF239" i="1" s="1"/>
  <c r="AF187" i="1"/>
  <c r="AF193" i="1"/>
  <c r="H19" i="3"/>
  <c r="AG271" i="1"/>
  <c r="AG233" i="1"/>
  <c r="AG239" i="1" s="1"/>
  <c r="AD194" i="1"/>
  <c r="AD198" i="1" s="1"/>
  <c r="AE196" i="1"/>
  <c r="AG269" i="1"/>
  <c r="AF316" i="1"/>
  <c r="J21" i="28"/>
  <c r="J22" i="28" s="1"/>
  <c r="AG182" i="1"/>
  <c r="AI181" i="1"/>
  <c r="AE218" i="1"/>
  <c r="AC256" i="1"/>
  <c r="AC277" i="1" s="1"/>
  <c r="AC298" i="1" s="1"/>
  <c r="AC300" i="1" s="1"/>
  <c r="AC200" i="1"/>
  <c r="AC203" i="1"/>
  <c r="U248" i="1"/>
  <c r="V246" i="1"/>
  <c r="G20" i="3"/>
  <c r="G23" i="3"/>
  <c r="G26" i="3" s="1"/>
  <c r="G27" i="3" s="1"/>
  <c r="G31" i="3" s="1"/>
  <c r="AA211" i="1"/>
  <c r="R342" i="1"/>
  <c r="R216" i="1"/>
  <c r="R223" i="1" s="1"/>
  <c r="AG317" i="1" l="1"/>
  <c r="I25" i="3" s="1"/>
  <c r="J25" i="3" s="1"/>
  <c r="R334" i="1"/>
  <c r="R251" i="1"/>
  <c r="AD256" i="1"/>
  <c r="AD277" i="1" s="1"/>
  <c r="AD298" i="1" s="1"/>
  <c r="AD203" i="1"/>
  <c r="AD200" i="1"/>
  <c r="AC321" i="1"/>
  <c r="AC204" i="1"/>
  <c r="AA342" i="1"/>
  <c r="D45" i="28" s="1"/>
  <c r="AA216" i="1"/>
  <c r="AA223" i="1" s="1"/>
  <c r="J19" i="3"/>
  <c r="I23" i="3"/>
  <c r="J23" i="3" s="1"/>
  <c r="I20" i="3"/>
  <c r="T211" i="1"/>
  <c r="U299" i="1"/>
  <c r="U300" i="1" s="1"/>
  <c r="AB246" i="1"/>
  <c r="AC246" i="1" s="1"/>
  <c r="V248" i="1"/>
  <c r="U333" i="1"/>
  <c r="U249" i="1"/>
  <c r="AE194" i="1"/>
  <c r="AE198" i="1" s="1"/>
  <c r="AF196" i="1"/>
  <c r="AD299" i="1"/>
  <c r="AC211" i="1"/>
  <c r="AF317" i="1"/>
  <c r="H25" i="3" s="1"/>
  <c r="H20" i="3"/>
  <c r="H23" i="3"/>
  <c r="S216" i="1"/>
  <c r="S223" i="1" s="1"/>
  <c r="S342" i="1"/>
  <c r="AF218" i="1"/>
  <c r="H26" i="3" l="1"/>
  <c r="H27" i="3" s="1"/>
  <c r="H31" i="3" s="1"/>
  <c r="AG218" i="1"/>
  <c r="AC248" i="1"/>
  <c r="AD246" i="1"/>
  <c r="U211" i="1"/>
  <c r="V299" i="1"/>
  <c r="V300" i="1" s="1"/>
  <c r="V211" i="1" s="1"/>
  <c r="S334" i="1"/>
  <c r="S251" i="1"/>
  <c r="AF194" i="1"/>
  <c r="AF198" i="1" s="1"/>
  <c r="AG196" i="1"/>
  <c r="AG194" i="1" s="1"/>
  <c r="AG198" i="1" s="1"/>
  <c r="T342" i="1"/>
  <c r="T216" i="1"/>
  <c r="T223" i="1" s="1"/>
  <c r="AE203" i="1"/>
  <c r="AE200" i="1"/>
  <c r="AE256" i="1"/>
  <c r="AE277" i="1" s="1"/>
  <c r="AE298" i="1" s="1"/>
  <c r="I26" i="3"/>
  <c r="I27" i="3" s="1"/>
  <c r="I31" i="3" s="1"/>
  <c r="J26" i="3"/>
  <c r="D57" i="3"/>
  <c r="J20" i="3"/>
  <c r="AD204" i="1"/>
  <c r="AD321" i="1"/>
  <c r="AC342" i="1"/>
  <c r="F45" i="28" s="1"/>
  <c r="E13" i="29"/>
  <c r="E15" i="29" s="1"/>
  <c r="E18" i="29" s="1"/>
  <c r="AC216" i="1"/>
  <c r="AC223" i="1" s="1"/>
  <c r="AC334" i="1" s="1"/>
  <c r="AB248" i="1"/>
  <c r="V333" i="1"/>
  <c r="V249" i="1"/>
  <c r="AA334" i="1"/>
  <c r="AA251" i="1"/>
  <c r="AD300" i="1"/>
  <c r="E24" i="29" l="1"/>
  <c r="E27" i="29" s="1"/>
  <c r="E33" i="29" s="1"/>
  <c r="E35" i="29" s="1"/>
  <c r="AP358" i="1"/>
  <c r="D42" i="3"/>
  <c r="V342" i="1"/>
  <c r="AB211" i="1"/>
  <c r="V216" i="1"/>
  <c r="V223" i="1" s="1"/>
  <c r="V334" i="1" s="1"/>
  <c r="AE204" i="1"/>
  <c r="AE321" i="1"/>
  <c r="U342" i="1"/>
  <c r="U216" i="1"/>
  <c r="U223" i="1" s="1"/>
  <c r="T334" i="1"/>
  <c r="T251" i="1"/>
  <c r="AD248" i="1"/>
  <c r="AE246" i="1"/>
  <c r="AC249" i="1"/>
  <c r="AC251" i="1" s="1"/>
  <c r="AC333" i="1"/>
  <c r="AB249" i="1"/>
  <c r="AB333" i="1"/>
  <c r="D39" i="3"/>
  <c r="D40" i="3" s="1"/>
  <c r="J27" i="3"/>
  <c r="J31" i="3" s="1"/>
  <c r="AG203" i="1"/>
  <c r="AG200" i="1"/>
  <c r="AG256" i="1"/>
  <c r="AG277" i="1" s="1"/>
  <c r="AG298" i="1" s="1"/>
  <c r="AD211" i="1"/>
  <c r="F13" i="29" s="1"/>
  <c r="F15" i="29" s="1"/>
  <c r="F18" i="29" s="1"/>
  <c r="AE299" i="1"/>
  <c r="AE300" i="1" s="1"/>
  <c r="AF203" i="1"/>
  <c r="AF200" i="1"/>
  <c r="AF256" i="1"/>
  <c r="AF277" i="1" s="1"/>
  <c r="AF298" i="1" s="1"/>
  <c r="F24" i="29" l="1"/>
  <c r="F27" i="29" s="1"/>
  <c r="AB75" i="32"/>
  <c r="AV358" i="1"/>
  <c r="AE211" i="1"/>
  <c r="AF299" i="1"/>
  <c r="AF300" i="1" s="1"/>
  <c r="AG204" i="1"/>
  <c r="AG321" i="1"/>
  <c r="AD249" i="1"/>
  <c r="AD333" i="1"/>
  <c r="AF204" i="1"/>
  <c r="AF321" i="1"/>
  <c r="AB342" i="1"/>
  <c r="E45" i="28" s="1"/>
  <c r="AB216" i="1"/>
  <c r="AB223" i="1" s="1"/>
  <c r="AB334" i="1" s="1"/>
  <c r="D13" i="29"/>
  <c r="D15" i="29" s="1"/>
  <c r="D18" i="29" s="1"/>
  <c r="V251" i="1"/>
  <c r="AF246" i="1"/>
  <c r="AE248" i="1"/>
  <c r="D56" i="3"/>
  <c r="D58" i="3" s="1"/>
  <c r="D43" i="3"/>
  <c r="D44" i="3" s="1"/>
  <c r="D47" i="3" s="1"/>
  <c r="D50" i="3" s="1"/>
  <c r="AD342" i="1"/>
  <c r="G45" i="28" s="1"/>
  <c r="AD216" i="1"/>
  <c r="AD223" i="1" s="1"/>
  <c r="AD334" i="1" s="1"/>
  <c r="U334" i="1"/>
  <c r="U251" i="1"/>
  <c r="D24" i="29" l="1"/>
  <c r="D27" i="29" s="1"/>
  <c r="D32" i="29" s="1"/>
  <c r="D35" i="29" s="1"/>
  <c r="AB251" i="1"/>
  <c r="AD251" i="1"/>
  <c r="AE249" i="1"/>
  <c r="AE333" i="1"/>
  <c r="AG246" i="1"/>
  <c r="AG248" i="1" s="1"/>
  <c r="AF248" i="1"/>
  <c r="AG299" i="1"/>
  <c r="AG300" i="1" s="1"/>
  <c r="AG211" i="1" s="1"/>
  <c r="AF211" i="1"/>
  <c r="C68" i="3"/>
  <c r="D53" i="3"/>
  <c r="AE216" i="1"/>
  <c r="AE223" i="1" s="1"/>
  <c r="AE334" i="1" s="1"/>
  <c r="AE342" i="1"/>
  <c r="H45" i="28" s="1"/>
  <c r="AA75" i="32" l="1"/>
  <c r="AE251" i="1"/>
  <c r="AG216" i="1"/>
  <c r="AG223" i="1" s="1"/>
  <c r="AG334" i="1" s="1"/>
  <c r="AG342" i="1"/>
  <c r="J45" i="28" s="1"/>
  <c r="AF333" i="1"/>
  <c r="AF249" i="1"/>
  <c r="AG333" i="1"/>
  <c r="AG249" i="1"/>
  <c r="AF342" i="1"/>
  <c r="I45" i="28" s="1"/>
  <c r="AF216" i="1"/>
  <c r="AF223" i="1" s="1"/>
  <c r="AF334" i="1" s="1"/>
  <c r="AG251" i="1" l="1"/>
  <c r="AF25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11" authorId="0" shapeId="0" xr:uid="{9FCED671-15F0-43D6-878E-6C63B6B2211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D11" authorId="0" shapeId="0" xr:uid="{07CA47CD-BC1F-475B-AD48-823619F6C5A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E11" authorId="0" shapeId="0" xr:uid="{4D6CF75A-D23B-4EB8-B160-3F04B6F7383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F11" authorId="0" shapeId="0" xr:uid="{EAFBDF2B-3F54-409B-B49B-4DC7E46AE7C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G11" authorId="0" shapeId="0" xr:uid="{A487B51F-566D-494F-A76D-BEDD5D02631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H11" authorId="0" shapeId="0" xr:uid="{6D374CC0-DC01-47B9-AE1B-79355C8A020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I11" authorId="0" shapeId="0" xr:uid="{126D6164-0B21-465C-B5CD-8FE8A6E721C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J11" authorId="0" shapeId="0" xr:uid="{FAD88A19-BBB3-4AC7-A35C-88226B82D3F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K11" authorId="0" shapeId="0" xr:uid="{1E24B09D-C9E0-4F1A-A45C-D3F780A7F19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L11" authorId="0" shapeId="0" xr:uid="{3D11CF53-DD44-436D-B8BD-2DF3DB42DFA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M11" authorId="0" shapeId="0" xr:uid="{E15ACDB5-B28D-4376-A791-AB88087E6B5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N11" authorId="0" shapeId="0" xr:uid="{8B5070EB-2426-4EF9-B0DC-BCE01A77E05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O11" authorId="0" shapeId="0" xr:uid="{0BF2F872-101B-440A-BC4C-9C0B899DA53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P11" authorId="0" shapeId="0" xr:uid="{2E863672-05A6-412E-A7F8-20974B1BD22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Q11" authorId="0" shapeId="0" xr:uid="{7CEB8C39-249B-4094-BCEC-95CA4B748AA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C12" authorId="0" shapeId="0" xr:uid="{25E21FE0-F76A-4733-B973-FB0A9346B62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D12" authorId="0" shapeId="0" xr:uid="{45F0B018-FC3D-41D7-80A9-F8615DE6D97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E12" authorId="0" shapeId="0" xr:uid="{197D901C-7966-46A6-9A8B-A72075BF7B2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F12" authorId="0" shapeId="0" xr:uid="{1E0ADB8C-4FE6-4135-B1BD-65423C5A58A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G12" authorId="0" shapeId="0" xr:uid="{5D125101-2ABF-4506-927E-574C3EAA602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H12" authorId="0" shapeId="0" xr:uid="{510CA019-6DB8-4965-8E81-B52BFC12E15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I12" authorId="0" shapeId="0" xr:uid="{80BE95BA-3225-4C0B-9691-318333CC8A7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J12" authorId="0" shapeId="0" xr:uid="{D0CA1113-35F6-4ACE-9B8E-73927153CBB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K12" authorId="0" shapeId="0" xr:uid="{2522516B-9370-49CE-94DB-0B331440F4A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L12" authorId="0" shapeId="0" xr:uid="{26A9E8D6-A479-453A-A0DD-885029195BC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M12" authorId="0" shapeId="0" xr:uid="{924489C2-6D8A-4F85-B6A3-89B9EE26194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N12" authorId="0" shapeId="0" xr:uid="{0632A8E1-D262-4E50-8600-BBC7CC54EAC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O12" authorId="0" shapeId="0" xr:uid="{252588CA-5F6B-407E-9762-D81EF2AD6BC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P12" authorId="0" shapeId="0" xr:uid="{EC2193F1-0AEE-4A21-8171-489B9BE53CC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Q12" authorId="0" shapeId="0" xr:uid="{53A34C11-3EE2-4A42-B9D8-B6484F1DBFB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C13" authorId="0" shapeId="0" xr:uid="{3209E309-074C-4A1D-BCBE-86F150E40CB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D13" authorId="0" shapeId="0" xr:uid="{41FD7330-98AD-4FD7-9204-70FC377BA2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E13" authorId="0" shapeId="0" xr:uid="{260C1E0C-7889-490E-ABBE-ED01BB0159F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F13" authorId="0" shapeId="0" xr:uid="{ABE9E798-4626-4486-8850-0C5B1D71C85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G13" authorId="0" shapeId="0" xr:uid="{DA206BB3-306C-49CC-91E6-2C4AA078893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H13" authorId="0" shapeId="0" xr:uid="{E2BFCD1D-A0E6-410D-B61F-FCAF549BB8A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I13" authorId="0" shapeId="0" xr:uid="{4522FE5D-A500-405C-85FD-B27310C2803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J13" authorId="0" shapeId="0" xr:uid="{28EA3A7F-46B9-41D3-B4E6-914668A2CA2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K13" authorId="0" shapeId="0" xr:uid="{1EAD760C-EA9A-4A9C-ADC0-5AC4C450842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L13" authorId="0" shapeId="0" xr:uid="{15152AC1-1E2D-40B6-B8A4-3126723BBD2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M13" authorId="0" shapeId="0" xr:uid="{FB6382B5-D178-4B2C-847B-7C10373FC11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N13" authorId="0" shapeId="0" xr:uid="{D6557F58-E0A0-4193-8721-1C47745696A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O13" authorId="0" shapeId="0" xr:uid="{A543DEE8-B88C-416C-85C2-2A931BC6B6D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P13" authorId="0" shapeId="0" xr:uid="{CE52559D-E9CA-4D3C-B395-2F5636F9726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Q13" authorId="0" shapeId="0" xr:uid="{853FEF53-CFFC-4E19-AA6D-FC61FDF5B0D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C14" authorId="0" shapeId="0" xr:uid="{8E62B8B3-434F-4E11-87D6-C0852A18BD2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D14" authorId="0" shapeId="0" xr:uid="{14A6DA47-AF32-4A65-A9D9-C638B10EC5F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E14" authorId="0" shapeId="0" xr:uid="{7E30E8A7-48BC-4079-8499-6F6B148B1F3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F14" authorId="0" shapeId="0" xr:uid="{67F28090-4FAC-4804-B60F-54E85CCDB64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G14" authorId="0" shapeId="0" xr:uid="{BC24E5FC-5319-4A02-9D62-081845DA2E3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H14" authorId="0" shapeId="0" xr:uid="{590BCE02-11B5-4D55-975E-4AE17FA2254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I14" authorId="0" shapeId="0" xr:uid="{AB52FE09-17E0-4E5A-B174-D63528E3DB5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J14" authorId="0" shapeId="0" xr:uid="{C8816B44-1431-4F4A-B800-AAEECF05FDC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K14" authorId="0" shapeId="0" xr:uid="{9B64046E-4334-41D5-BB49-B52AC99C272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L14" authorId="0" shapeId="0" xr:uid="{9823C2BC-EEE8-4160-B223-B74AD77AEED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M14" authorId="0" shapeId="0" xr:uid="{62347244-73E0-46F9-9E27-F3DCE274836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N14" authorId="0" shapeId="0" xr:uid="{FDDFCD5D-576D-42A9-8B92-0C92B92635C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O14" authorId="0" shapeId="0" xr:uid="{42F05CDB-9273-4E68-B699-55CFA3C66EA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P14" authorId="0" shapeId="0" xr:uid="{6C2B1AA0-01E9-435C-A567-23E1B2F576F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Q14" authorId="0" shapeId="0" xr:uid="{7105135D-0DB1-426C-9291-19C213ACDA4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C15" authorId="0" shapeId="0" xr:uid="{10F6A12E-F8E4-4D2C-818E-FE5861D9D1C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D15" authorId="0" shapeId="0" xr:uid="{6D6DB829-0107-409E-8646-F4E2D4B814E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E15" authorId="0" shapeId="0" xr:uid="{99E1EADD-BA18-4B23-B5D0-72125296FF3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F15" authorId="0" shapeId="0" xr:uid="{A3BE89F9-C3E2-40B3-A316-736A30C711A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G15" authorId="0" shapeId="0" xr:uid="{90AB4C7B-6B96-486E-AD12-D8F77A74F35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H15" authorId="0" shapeId="0" xr:uid="{52AD6C25-8636-462C-979D-368E6E28422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I15" authorId="0" shapeId="0" xr:uid="{A7044C1F-DB36-45EB-8646-AE2EFA9B911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J15" authorId="0" shapeId="0" xr:uid="{101E225C-F175-4E72-82F8-E1A5EE3FC9B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K15" authorId="0" shapeId="0" xr:uid="{56721FF7-812C-4BF4-A8F8-30195466058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L15" authorId="0" shapeId="0" xr:uid="{04C16CFE-05E5-447E-BCB5-9F18C8B037B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M15" authorId="0" shapeId="0" xr:uid="{F6B8015C-8844-46AA-A42C-81320AAF5A5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N15" authorId="0" shapeId="0" xr:uid="{119B0C5F-2496-455B-B2BB-D50A1FA520D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O15" authorId="0" shapeId="0" xr:uid="{DC1BDBC6-EECF-4A49-8F9A-C9A57DE7F1B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P15" authorId="0" shapeId="0" xr:uid="{731AA835-0B54-4B44-9EA3-0630D2F73D0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Q15" authorId="0" shapeId="0" xr:uid="{7B2705C9-08AE-4758-B64A-5FA7217BC1D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https://www.bamsec.com/filing/1292724000079/2?cik=12927&amp;table=12</t>
        </r>
      </text>
    </comment>
    <comment ref="R17" authorId="0" shapeId="0" xr:uid="{E408710C-6E89-4EDB-AE9E-BC6FC25BCBC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BA CONS revenue growth as proxy</t>
        </r>
      </text>
    </comment>
    <comment ref="S17" authorId="0" shapeId="0" xr:uid="{9E0BE300-E430-4059-A65D-0B2A738513C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BA CONS revenue growth as proxy</t>
        </r>
      </text>
    </comment>
    <comment ref="T17" authorId="0" shapeId="0" xr:uid="{F15310C4-F351-4314-BB40-15917DEC00D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BA CONS revenue growth as proxy</t>
        </r>
      </text>
    </comment>
    <comment ref="U17" authorId="0" shapeId="0" xr:uid="{16F08A6C-9D2A-43B8-8010-B16FD9B0080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BA CONS revenue growth as proxy</t>
        </r>
      </text>
    </comment>
    <comment ref="V17" authorId="0" shapeId="0" xr:uid="{41B50CC2-CEAA-4927-920F-C115B8005DF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BA CONS revenue growth as proxy</t>
        </r>
      </text>
    </comment>
    <comment ref="AB17" authorId="0" shapeId="0" xr:uid="{D85D84C0-3DB1-4110-BAD3-3DD43FF5D40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 line with CY 2026E BA consensus sales growth estimates ~26%</t>
        </r>
      </text>
    </comment>
    <comment ref="AC17" authorId="0" shapeId="0" xr:uid="{D25EFCA6-6A67-421E-87B8-C1ADE80C296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 line with CY 2026E BA consensus sales growth estimates</t>
        </r>
      </text>
    </comment>
    <comment ref="AD17" authorId="0" shapeId="0" xr:uid="{2FE02E0C-4789-45E4-B1BC-D67A295265D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Shop service cycle CAGR
https://www.bamsec.com/document-search?query=spares+requirement&amp;entityId=4281</t>
        </r>
      </text>
    </comment>
    <comment ref="AE17" authorId="0" shapeId="0" xr:uid="{8BC09EE0-0D44-4D87-AE69-19907DB996C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Shop service cycle CAGR
https://www.bamsec.com/document-search?query=spares+requirement&amp;entityId=4281</t>
        </r>
      </text>
    </comment>
    <comment ref="AF17" authorId="0" shapeId="0" xr:uid="{F086E796-D0E0-4A4B-8FE9-6E3EAE703A7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Shop service cycle CAGR
https://www.bamsec.com/document-search?query=spares+requirement&amp;entityId=4281</t>
        </r>
      </text>
    </comment>
    <comment ref="AG17" authorId="0" shapeId="0" xr:uid="{A0823FEA-5855-44DD-8572-36F9209DC40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Shop service cycle CAGR
https://www.bamsec.com/document-search?query=spares+requirement&amp;entityId=4281</t>
        </r>
      </text>
    </comment>
    <comment ref="C24" authorId="0" shapeId="0" xr:uid="{7018A582-3CFB-422B-8AD6-EBF17361C33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https://www.airbus.com/en/investors/financial-results-annual-reports</t>
        </r>
      </text>
    </comment>
    <comment ref="D24" authorId="0" shapeId="0" xr:uid="{FCD339B7-4E1A-46B6-8FF7-D23E3DE3C56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https://www.airbus.com/en/investors/financial-results-annual-reports</t>
        </r>
      </text>
    </comment>
    <comment ref="E24" authorId="0" shapeId="0" xr:uid="{786F6F1C-DD75-4CD7-8E64-4015F2FBF49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https://www.airbus.com/en/investors/financial-results-annual-reports</t>
        </r>
      </text>
    </comment>
    <comment ref="F24" authorId="0" shapeId="0" xr:uid="{EB5E2F9F-9EE1-4666-B78E-8C581347136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https://www.airbus.com/en/investors/financial-results-annual-reports</t>
        </r>
      </text>
    </comment>
    <comment ref="G24" authorId="0" shapeId="0" xr:uid="{D09F94FB-3EB7-4435-A03C-4BDF2D2341C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https://www.airbus.com/en/investors/financial-results-annual-reports</t>
        </r>
      </text>
    </comment>
    <comment ref="H24" authorId="0" shapeId="0" xr:uid="{9D55E75C-7176-486A-B653-C312F34D20A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https://www.airbus.com/en/investors/financial-results-annual-reports</t>
        </r>
      </text>
    </comment>
    <comment ref="I24" authorId="0" shapeId="0" xr:uid="{C650BD22-298A-4A67-A7B4-885FE23E543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https://www.airbus.com/en/investors/financial-results-annual-reports</t>
        </r>
      </text>
    </comment>
    <comment ref="J24" authorId="0" shapeId="0" xr:uid="{1D289F33-EBD9-420F-A031-BDFCE534F78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https://www.airbus.com/en/investors/financial-results-annual-reports</t>
        </r>
      </text>
    </comment>
    <comment ref="K24" authorId="0" shapeId="0" xr:uid="{6A5899A6-00E3-4C87-812C-89F126B0A19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https://www.airbus.com/en/investors/financial-results-annual-reports</t>
        </r>
      </text>
    </comment>
    <comment ref="L24" authorId="0" shapeId="0" xr:uid="{F02157AB-006D-4450-83B0-6204C106376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https://www.airbus.com/en/investors/financial-results-annual-reports</t>
        </r>
      </text>
    </comment>
    <comment ref="M24" authorId="0" shapeId="0" xr:uid="{B606FDB5-8BB9-4605-902F-BCB2BFF1F2E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https://www.airbus.com/en/investors/financial-results-annual-reports</t>
        </r>
      </text>
    </comment>
    <comment ref="N24" authorId="0" shapeId="0" xr:uid="{F81D9684-7113-43EA-83CC-FF5484793C6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https://www.airbus.com/en/investors/financial-results-annual-reports</t>
        </r>
      </text>
    </comment>
    <comment ref="O24" authorId="0" shapeId="0" xr:uid="{1606B172-7455-4423-BA27-60094061B9F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https://www.airbus.com/en/investors/financial-results-annual-reports</t>
        </r>
      </text>
    </comment>
    <comment ref="P24" authorId="0" shapeId="0" xr:uid="{ECD48FD4-5DD6-4A64-89FE-B399328797A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https://www.airbus.com/en/investors/financial-results-annual-reports</t>
        </r>
      </text>
    </comment>
    <comment ref="Q24" authorId="0" shapeId="0" xr:uid="{AF06F81E-2B67-4BCA-946E-6ABDE886DA6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https://www.airbus.com/en/investors/financial-results-annual-reports</t>
        </r>
      </text>
    </comment>
    <comment ref="R24" authorId="0" shapeId="0" xr:uid="{91A58D10-D1C3-4170-A0D6-2FC49C97D49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Guidance update June 24, 2024</t>
        </r>
      </text>
    </comment>
    <comment ref="S24" authorId="0" shapeId="0" xr:uid="{58FA530D-CA60-41BB-A687-0A27FF13C60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bernstein estimate after rate cut</t>
        </r>
      </text>
    </comment>
    <comment ref="T24" authorId="0" shapeId="0" xr:uid="{4648D51D-AD54-40AB-9474-A517F293B5C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bernstein estimate after rate cut</t>
        </r>
      </text>
    </comment>
    <comment ref="U24" authorId="0" shapeId="0" xr:uid="{E31010BA-3FB9-4317-9F70-270E38A5898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bernstein estimate after rate cut</t>
        </r>
      </text>
    </comment>
    <comment ref="V24" authorId="0" shapeId="0" xr:uid="{C861E14D-3AFF-40D4-B35F-5433C97C514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bernstein estimate after rate cut</t>
        </r>
      </text>
    </comment>
    <comment ref="AC25" authorId="0" shapeId="0" xr:uid="{DD90B10B-922D-4D05-BB1F-8275661F1A8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 line with CY 2026E BA consensus sales growth estimates</t>
        </r>
      </text>
    </comment>
    <comment ref="AD25" authorId="0" shapeId="0" xr:uid="{F22A3DE8-2342-4605-B7D2-613D39F2546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Shop service cycle CAGR
https://www.bamsec.com/document-search?query=spares+requirement&amp;entityId=4281</t>
        </r>
      </text>
    </comment>
    <comment ref="AE25" authorId="0" shapeId="0" xr:uid="{E88792BF-78E7-4CD0-ACA8-3468AEC3DD1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Shop service cycle CAGR
https://www.bamsec.com/document-search?query=spares+requirement&amp;entityId=4281</t>
        </r>
      </text>
    </comment>
    <comment ref="AF25" authorId="0" shapeId="0" xr:uid="{4174E456-AD07-4FC6-B424-A0D9E21D2D8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Shop service cycle CAGR
https://www.bamsec.com/document-search?query=spares+requirement&amp;entityId=4281</t>
        </r>
      </text>
    </comment>
    <comment ref="AG25" authorId="0" shapeId="0" xr:uid="{6A581E4E-5F7D-4843-B959-CEB5A514C14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Shop service cycle CAGR
https://www.bamsec.com/document-search?query=spares+requirement&amp;entityId=4281</t>
        </r>
      </text>
    </comment>
    <comment ref="AC28" authorId="0" shapeId="0" xr:uid="{6466305C-751A-439C-AE84-0A71BF4020F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 line with CY 2026E BA consensus sales growth estimates</t>
        </r>
      </text>
    </comment>
    <comment ref="AD28" authorId="0" shapeId="0" xr:uid="{DABA4347-3DFD-4CC9-8A44-44325E3D3D3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Shop service cycle CAGR
https://www.bamsec.com/document-search?query=spares+requirement&amp;entityId=4281</t>
        </r>
      </text>
    </comment>
    <comment ref="AE28" authorId="0" shapeId="0" xr:uid="{CF3E7C6C-1DA5-437F-9ECB-0A80227647D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Shop service cycle CAGR
https://www.bamsec.com/document-search?query=spares+requirement&amp;entityId=4281</t>
        </r>
      </text>
    </comment>
    <comment ref="AF28" authorId="0" shapeId="0" xr:uid="{CAD2EBF9-6FAA-40E2-AE2A-58780C1D041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Shop service cycle CAGR
https://www.bamsec.com/document-search?query=spares+requirement&amp;entityId=4281</t>
        </r>
      </text>
    </comment>
    <comment ref="AG28" authorId="0" shapeId="0" xr:uid="{5536CA69-4E03-43F3-9A40-8B026DC3635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Shop service cycle CAGR
https://www.bamsec.com/document-search?query=spares+requirement&amp;entityId=4281</t>
        </r>
      </text>
    </comment>
    <comment ref="R33" authorId="0" shapeId="0" xr:uid="{34C84E1A-C232-490C-A92F-D6D5D730BF5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2024 Guidance 150 -155 aircraft deliveries</t>
        </r>
      </text>
    </comment>
    <comment ref="S33" authorId="0" shapeId="0" xr:uid="{90D26E2D-0479-4455-8161-49218DF8449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flat deliveries 2025</t>
        </r>
      </text>
    </comment>
    <comment ref="T33" authorId="0" shapeId="0" xr:uid="{F5A3CAA8-22B3-4788-87AB-0F343D2D5F9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flat deliveries 2025</t>
        </r>
      </text>
    </comment>
    <comment ref="U33" authorId="0" shapeId="0" xr:uid="{416CBDC5-F5F1-44B5-8052-CA978565D88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flat deliveries 2025</t>
        </r>
      </text>
    </comment>
    <comment ref="V33" authorId="0" shapeId="0" xr:uid="{D0B3FD0C-0FB9-4F61-A858-97788468A8E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flat deliveries 2025</t>
        </r>
      </text>
    </comment>
    <comment ref="AC34" authorId="0" shapeId="0" xr:uid="{0279306E-34CF-4E31-9562-93935AB4052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 line with CY 2026E BA consensus sales growth estimates</t>
        </r>
      </text>
    </comment>
    <comment ref="AD34" authorId="0" shapeId="0" xr:uid="{3782ECA5-1D98-4349-A1EC-D7B16444FAF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Shop service cycle CAGR
https://www.bamsec.com/document-search?query=spares+requirement&amp;entityId=4281</t>
        </r>
      </text>
    </comment>
    <comment ref="AE34" authorId="0" shapeId="0" xr:uid="{6F80EA7A-2767-4A84-B5B7-27711D1DA50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Shop service cycle CAGR
https://www.bamsec.com/document-search?query=spares+requirement&amp;entityId=4281</t>
        </r>
      </text>
    </comment>
    <comment ref="AF34" authorId="0" shapeId="0" xr:uid="{F7A5128F-34E2-4E59-833F-30DF4EFF06C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Shop service cycle CAGR
https://www.bamsec.com/document-search?query=spares+requirement&amp;entityId=4281</t>
        </r>
      </text>
    </comment>
    <comment ref="AG34" authorId="0" shapeId="0" xr:uid="{936B1936-0DDD-444C-BD69-CFBACB236F7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Shop service cycle CAGR
https://www.bamsec.com/document-search?query=spares+requirement&amp;entityId=4281</t>
        </r>
      </text>
    </comment>
    <comment ref="S51" authorId="0" shapeId="0" xr:uid="{8E976AD6-792D-41DF-B2A9-A3C974F8807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https://www.airandspaceforces.com/lockheed-stable-f-35-production-next-five-years/</t>
        </r>
      </text>
    </comment>
    <comment ref="T51" authorId="0" shapeId="0" xr:uid="{C159BBB0-5ABC-452E-A4FE-5BDAFB014A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https://www.airandspaceforces.com/lockheed-stable-f-35-production-next-five-years/</t>
        </r>
      </text>
    </comment>
    <comment ref="U51" authorId="0" shapeId="0" xr:uid="{7CF27872-1932-4A73-8AB0-9F539F5114D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https://www.airandspaceforces.com/lockheed-stable-f-35-production-next-five-years/</t>
        </r>
      </text>
    </comment>
    <comment ref="V51" authorId="0" shapeId="0" xr:uid="{EFB1F210-FC60-41F0-AE67-1D921410178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https://www.airandspaceforces.com/lockheed-stable-f-35-production-next-five-years/</t>
        </r>
      </text>
    </comment>
    <comment ref="AC51" authorId="0" shapeId="0" xr:uid="{6EE11F04-10F2-4FD5-BBBA-C00D3CCD2F4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https://www.airandspaceforces.com/lockheed-stable-f-35-production-next-five-years/</t>
        </r>
      </text>
    </comment>
    <comment ref="AD51" authorId="0" shapeId="0" xr:uid="{88FCC5F7-B4BD-4580-B04D-A0B57D716D4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https://www.airandspaceforces.com/lockheed-stable-f-35-production-next-five-years/</t>
        </r>
      </text>
    </comment>
    <comment ref="AE51" authorId="0" shapeId="0" xr:uid="{27FFA4D0-BAD6-4929-A671-DA8E15C0537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https://www.airandspaceforces.com/lockheed-stable-f-35-production-next-five-years/</t>
        </r>
      </text>
    </comment>
    <comment ref="AF51" authorId="0" shapeId="0" xr:uid="{0498475E-101F-4522-8110-406D8C20E56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https://www.airandspaceforces.com/lockheed-stable-f-35-production-next-five-years/</t>
        </r>
      </text>
    </comment>
    <comment ref="AG51" authorId="0" shapeId="0" xr:uid="{1E38EB8A-FDAA-4FF1-A052-0E504BE473A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https://www.airandspaceforces.com/lockheed-stable-f-35-production-next-five-years/</t>
        </r>
      </text>
    </comment>
    <comment ref="R52" authorId="0" shapeId="0" xr:uid="{D6C6ECC9-AB09-4B04-B5A4-F1694EC3FBB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https://www.flightglobal.com/defence/lockheed-martin-sees-potential-market-demand-for-another-300-new-f-16s/159230.article#:~:text=The%20company%20has%20so%20far,mid%2D2020s%2C%20he%20says.</t>
        </r>
      </text>
    </comment>
    <comment ref="S52" authorId="0" shapeId="0" xr:uid="{D5695927-3C0A-4C75-966C-C4530869392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https://www.defenseone.com/business/2023/09/lockheed-aims-hit-f-16-production-goal-end-2025/390422/</t>
        </r>
      </text>
    </comment>
    <comment ref="T52" authorId="0" shapeId="0" xr:uid="{BB5590FA-9D0E-4BA2-AFE5-03E52D73FC0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https://www.defenseone.com/business/2023/09/lockheed-aims-hit-f-16-production-goal-end-2025/390422/</t>
        </r>
      </text>
    </comment>
    <comment ref="U52" authorId="0" shapeId="0" xr:uid="{BA61A18C-B8D5-4523-83C7-8125701A186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https://www.defenseone.com/business/2023/09/lockheed-aims-hit-f-16-production-goal-end-2025/390422/</t>
        </r>
      </text>
    </comment>
    <comment ref="V52" authorId="0" shapeId="0" xr:uid="{3DA306F3-E86B-468E-941D-39D51EACE66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https://www.defenseone.com/business/2023/09/lockheed-aims-hit-f-16-production-goal-end-2025/390422/</t>
        </r>
      </text>
    </comment>
    <comment ref="AC52" authorId="0" shapeId="0" xr:uid="{9600A671-A5BD-4432-B8C1-DCFA8001F3F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https://www.defenseone.com/business/2023/09/lockheed-aims-hit-f-16-production-goal-end-2025/390422/</t>
        </r>
      </text>
    </comment>
    <comment ref="AD52" authorId="0" shapeId="0" xr:uid="{455488E5-18A1-4CC4-A0CF-CF737471D4D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https://www.defenseone.com/business/2023/09/lockheed-aims-hit-f-16-production-goal-end-2025/390422/</t>
        </r>
      </text>
    </comment>
    <comment ref="AE52" authorId="0" shapeId="0" xr:uid="{A6038720-0962-4C58-ACC2-23D2054318E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https://www.defenseone.com/business/2023/09/lockheed-aims-hit-f-16-production-goal-end-2025/390422/</t>
        </r>
      </text>
    </comment>
    <comment ref="AF52" authorId="0" shapeId="0" xr:uid="{CAB8DE7A-CE04-4E2F-838A-76C0DEF4A84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https://www.defenseone.com/business/2023/09/lockheed-aims-hit-f-16-production-goal-end-2025/390422/</t>
        </r>
      </text>
    </comment>
    <comment ref="AG52" authorId="0" shapeId="0" xr:uid="{6A9FD715-6D8D-4096-8C99-C7E4304D0AD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https://www.defenseone.com/business/2023/09/lockheed-aims-hit-f-16-production-goal-end-2025/390422/</t>
        </r>
      </text>
    </comment>
    <comment ref="S53" authorId="0" shapeId="0" xr:uid="{5D78C715-3C62-417C-A466-A7C2D4B169C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https://www.flightglobal.com/defence/robust-demand-should-safeguard-c-130j-production-through-2030s-lockheed-says/158680.article</t>
        </r>
      </text>
    </comment>
    <comment ref="T53" authorId="0" shapeId="0" xr:uid="{9A02753B-D0D8-4103-A164-01422D6652A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https://www.flightglobal.com/defence/robust-demand-should-safeguard-c-130j-production-through-2030s-lockheed-says/158680.article</t>
        </r>
      </text>
    </comment>
    <comment ref="U53" authorId="0" shapeId="0" xr:uid="{7A7B7946-F633-4AA2-8118-03C248959B8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https://www.flightglobal.com/defence/robust-demand-should-safeguard-c-130j-production-through-2030s-lockheed-says/158680.article</t>
        </r>
      </text>
    </comment>
    <comment ref="V53" authorId="0" shapeId="0" xr:uid="{BD15A188-6910-419F-B335-7369DAFF77C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https://www.flightglobal.com/defence/robust-demand-should-safeguard-c-130j-production-through-2030s-lockheed-says/158680.article</t>
        </r>
      </text>
    </comment>
    <comment ref="AC53" authorId="0" shapeId="0" xr:uid="{2BCB0771-5377-49A0-A7D5-376B90DB6FF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https://www.flightglobal.com/defence/robust-demand-should-safeguard-c-130j-production-through-2030s-lockheed-says/158680.article</t>
        </r>
      </text>
    </comment>
    <comment ref="AD53" authorId="0" shapeId="0" xr:uid="{A0B9E517-7D80-4311-B5D9-80D9924C7A9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https://www.flightglobal.com/defence/robust-demand-should-safeguard-c-130j-production-through-2030s-lockheed-says/158680.article</t>
        </r>
      </text>
    </comment>
    <comment ref="AE53" authorId="0" shapeId="0" xr:uid="{6C9C0DF0-84B9-4B56-84AB-523A7177AE7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https://www.flightglobal.com/defence/robust-demand-should-safeguard-c-130j-production-through-2030s-lockheed-says/158680.article</t>
        </r>
      </text>
    </comment>
    <comment ref="AF53" authorId="0" shapeId="0" xr:uid="{44C08F7F-50CE-4019-891E-B2BB2EB943B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https://www.flightglobal.com/defence/robust-demand-should-safeguard-c-130j-production-through-2030s-lockheed-says/158680.article</t>
        </r>
      </text>
    </comment>
    <comment ref="AG53" authorId="0" shapeId="0" xr:uid="{2BD4B1C5-4C47-4A72-9745-5518917F284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https://www.flightglobal.com/defence/robust-demand-should-safeguard-c-130j-production-through-2030s-lockheed-says/158680.article</t>
        </r>
      </text>
    </comment>
    <comment ref="S54" authorId="0" shapeId="0" xr:uid="{2D9E0C42-B3C3-4308-A003-90729EAEB1F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T54" authorId="0" shapeId="0" xr:uid="{DB7A6616-176A-4B0D-B25D-7FA2F37A84C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U54" authorId="0" shapeId="0" xr:uid="{FEFB3B8B-E8F4-498B-ABF0-B4D039F63F8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V54" authorId="0" shapeId="0" xr:uid="{C501DEF2-5AAC-4E7A-96BA-40BE129D11E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AC54" authorId="0" shapeId="0" xr:uid="{1A72E82E-F6BD-4230-9D40-F62349D7234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AD54" authorId="0" shapeId="0" xr:uid="{BF294DA2-1E88-4CD5-9869-9741362EB1D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AE54" authorId="0" shapeId="0" xr:uid="{D6AF6357-3A21-454F-BCFE-8454768E2CD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AF54" authorId="0" shapeId="0" xr:uid="{FAE246F8-BB2B-4398-ACE2-C86A700CFE8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AG54" authorId="0" shapeId="0" xr:uid="{F0DAB5EE-E686-4A10-8AF2-57D0013C6B7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S55" authorId="0" shapeId="0" xr:uid="{1856D664-BEB1-4DB6-91CF-1C93230139D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T55" authorId="0" shapeId="0" xr:uid="{FBB62A71-65BA-401B-A70F-EEBC6EFE9E5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U55" authorId="0" shapeId="0" xr:uid="{CB1D86A5-BBBE-4668-B9AC-5695CE235A7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V55" authorId="0" shapeId="0" xr:uid="{192BE411-4D01-4AA1-A5C0-31C97F466C8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AC55" authorId="0" shapeId="0" xr:uid="{E4AB2602-67D1-48F8-AA4C-10B4F7B5DFC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AD55" authorId="0" shapeId="0" xr:uid="{0DABDBCC-F014-4BF6-A606-004D0B47522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AE55" authorId="0" shapeId="0" xr:uid="{433060E3-B183-47AE-A715-70F7B296A1F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AF55" authorId="0" shapeId="0" xr:uid="{F5BA8BED-9730-4C9C-BEF1-E4224895A3F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AG55" authorId="0" shapeId="0" xr:uid="{A7D185BE-17CE-46E1-BFB2-F532057830C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https://www.bamsec.com/transcripts/2994b811-c278-40dd-afa7-71fe9661a9c9?hl_id=vyquq7orwx</t>
        </r>
      </text>
    </comment>
    <comment ref="AK72" authorId="0" shapeId="0" xr:uid="{D039ABA5-7C1F-4DB4-A769-8EC2CF16660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AC89" authorId="0" shapeId="0" xr:uid="{BB855952-3DA3-4D43-9650-583682DEDC7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avg. 22-24 = 17%</t>
        </r>
      </text>
    </comment>
    <comment ref="R95" authorId="0" shapeId="0" xr:uid="{CF8CBD4B-8F21-4F0B-A334-06555882C74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S95" authorId="0" shapeId="0" xr:uid="{21DA1BB8-0003-4C8F-A7C1-C70EE04F3B6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T95" authorId="0" shapeId="0" xr:uid="{FAF717A6-B131-474E-B089-D8DF2B10ED3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U95" authorId="0" shapeId="0" xr:uid="{C1033112-98EA-49B6-B83E-A4BB7DDE445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V95" authorId="0" shapeId="0" xr:uid="{1EEFEC13-8617-4F26-AED1-37D866DCEF4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AC95" authorId="0" shapeId="0" xr:uid="{9771B91C-5998-449E-B493-404B5C1533D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AD95" authorId="0" shapeId="0" xr:uid="{779CFD54-2F58-452D-8019-0BC54D50CDF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AE95" authorId="0" shapeId="0" xr:uid="{2280CD41-6203-4D22-BCFD-18B09CBFF9E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AF95" authorId="0" shapeId="0" xr:uid="{33318214-0D32-44D8-A13A-739DB182BEC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AG95" authorId="0" shapeId="0" xr:uid="{B01102D8-3196-4180-AB14-B3339597582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R99" authorId="0" shapeId="0" xr:uid="{9D1C95EF-5375-4417-9D5E-F67772CBF1F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S99" authorId="0" shapeId="0" xr:uid="{69D23A03-536F-4ADD-B0DF-F95D5790EB9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T99" authorId="0" shapeId="0" xr:uid="{C038DE49-CA8D-4EA7-8BA1-46770B8F84A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U99" authorId="0" shapeId="0" xr:uid="{5D6C7508-DD7D-44EF-AB7F-4F41F30DFE6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V99" authorId="0" shapeId="0" xr:uid="{D1E7E43E-E758-4E00-A604-53012C3B6A8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AC99" authorId="0" shapeId="0" xr:uid="{DFD654D0-A6B0-4A1D-9267-62B3403B8CA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AD99" authorId="0" shapeId="0" xr:uid="{85543AC1-1C1A-4D60-8F38-003364D665D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AE99" authorId="0" shapeId="0" xr:uid="{87B0BEE7-C713-4255-8B9F-7CE4E983F83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AF99" authorId="0" shapeId="0" xr:uid="{D0980A90-66D0-4A37-A178-711A5C5310B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AG99" authorId="0" shapeId="0" xr:uid="{07584DAB-A160-453D-A714-FAB9C193896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inflation</t>
        </r>
      </text>
    </comment>
    <comment ref="AC112" authorId="0" shapeId="0" xr:uid="{812AB5ED-A470-47B1-9D00-453F6BFBEFB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discount to GE sales CAGR 1998-2002</t>
        </r>
      </text>
    </comment>
    <comment ref="AD112" authorId="0" shapeId="0" xr:uid="{35D445DA-2B25-4D03-8A45-216C1546050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discount to GE sales CAGR 1998-2002</t>
        </r>
      </text>
    </comment>
    <comment ref="AE112" authorId="0" shapeId="0" xr:uid="{91DF8D4E-9298-4E78-B920-A251D4B0EC4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discount to GE sales CAGR 1998-2002</t>
        </r>
      </text>
    </comment>
    <comment ref="AF112" authorId="0" shapeId="0" xr:uid="{AC7453DE-C1A1-431A-A222-44A2D35C096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discount to GE sales CAGR 1998-2002</t>
        </r>
      </text>
    </comment>
    <comment ref="AG112" authorId="0" shapeId="0" xr:uid="{A5BCF47E-74AA-47C5-BD71-19B41D3965B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discount to GE sales CAGR 1998-2002</t>
        </r>
      </text>
    </comment>
    <comment ref="R151" authorId="0" shapeId="0" xr:uid="{D5126180-7E8E-4F56-8322-8C431206AB4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S151" authorId="0" shapeId="0" xr:uid="{BB6DE9E6-E190-4D76-8008-818EEF955E9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T151" authorId="0" shapeId="0" xr:uid="{49F07282-C859-41A0-A2D2-D79BD9BE45A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U151" authorId="0" shapeId="0" xr:uid="{51DF0C99-595F-4C1D-A5AE-78AD57E988C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V151" authorId="0" shapeId="0" xr:uid="{5AA5903C-57E3-469C-8269-FCF0F78B78E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R152" authorId="0" shapeId="0" xr:uid="{25C51AC1-63BC-4609-B004-0B4A81CC804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S152" authorId="0" shapeId="0" xr:uid="{C5A5A215-3442-4222-B7F4-D6F97162E04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T152" authorId="0" shapeId="0" xr:uid="{8BEFB7EA-647D-48A0-B787-ECACCBCCA7F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U152" authorId="0" shapeId="0" xr:uid="{FE5016C6-CDDF-47C6-8514-1B5BFE66BA9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V152" authorId="0" shapeId="0" xr:uid="{30690832-7783-4583-9305-E30955F1189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R153" authorId="0" shapeId="0" xr:uid="{D0C9A092-5A2D-40B2-A3A7-C95843BF9A2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S153" authorId="0" shapeId="0" xr:uid="{859DE77C-8E68-45F9-AA27-818310E9D5B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T153" authorId="0" shapeId="0" xr:uid="{2FAD0871-0F52-451B-9A17-AC65A62FCA7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U153" authorId="0" shapeId="0" xr:uid="{07442043-5D6C-4A01-B024-C5893656000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V153" authorId="0" shapeId="0" xr:uid="{99AD2A0A-318B-44F6-A71C-6F5AEBFADB5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R154" authorId="0" shapeId="0" xr:uid="{0F72048A-7AA8-471C-94ED-64028C6F4F9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S154" authorId="0" shapeId="0" xr:uid="{DF688FC5-BE6D-4DE2-B40E-39FA2661D45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T154" authorId="0" shapeId="0" xr:uid="{8A050AC7-8F0D-4A26-A5B8-48588820737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U154" authorId="0" shapeId="0" xr:uid="{8E414605-130C-4D27-869C-0DA6A75ED78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V154" authorId="0" shapeId="0" xr:uid="{56491672-9CE6-4CF7-BF5B-431C8451067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AL159" authorId="0" shapeId="0" xr:uid="{6151D91E-A569-4228-9A88-08AEB273C42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discount to margin expansion in '23A</t>
        </r>
      </text>
    </comment>
    <comment ref="C174" authorId="0" shapeId="0" xr:uid="{5DB97AEA-C2C6-4CEC-B62C-F04DF40F968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https://www.bamsec.com/filing/115752321000988/2?cik=4281&amp;table=1</t>
        </r>
      </text>
    </comment>
    <comment ref="D174" authorId="0" shapeId="0" xr:uid="{D73E4E8F-F518-443B-9509-2BB0CBE4177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https://www.bamsec.com/filing/115752321000988/2?cik=4281&amp;table=1</t>
        </r>
      </text>
    </comment>
    <comment ref="E174" authorId="0" shapeId="0" xr:uid="{588F28D7-D095-4D97-8720-C8566970149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https://www.bamsec.com/filing/115752321001332/2?cik=4281&amp;table=16</t>
        </r>
      </text>
    </comment>
    <comment ref="F174" authorId="0" shapeId="0" xr:uid="{3BA7E7D4-0B78-4089-B46F-992735F4960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https://www.bamsec.com/filing/115752322000133/2?cik=4281&amp;table=5</t>
        </r>
      </text>
    </comment>
    <comment ref="G174" authorId="0" shapeId="0" xr:uid="{001C6A35-9E62-432F-9EC2-0A27A6561F5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https://www.bamsec.com/filing/115752322000538/2?cik=4281&amp;table=3</t>
        </r>
      </text>
    </comment>
    <comment ref="H174" authorId="0" shapeId="0" xr:uid="{03B4E321-18EB-4F81-A417-FDBA3B475F9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https://www.bamsec.com/filing/115752322001026/2?cik=4281&amp;table=2</t>
        </r>
      </text>
    </comment>
    <comment ref="I174" authorId="0" shapeId="0" xr:uid="{9C0787D9-16DE-42DF-96DF-9F4E56CCECA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https://www.bamsec.com/filing/115752322001429/2?cik=4281&amp;table=5</t>
        </r>
      </text>
    </comment>
    <comment ref="J174" authorId="0" shapeId="0" xr:uid="{45C70635-3093-46C7-BD72-FE3B5CE38B0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https://www.bamsec.com/filing/115752323000273/2?cik=4281&amp;table=2</t>
        </r>
      </text>
    </comment>
    <comment ref="K174" authorId="0" shapeId="0" xr:uid="{CCBE812E-679C-4D9E-8D34-2F64D4E093A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https://www.bamsec.com/filing/115752323000673/2?cik=4281&amp;table=5</t>
        </r>
      </text>
    </comment>
    <comment ref="L174" authorId="0" shapeId="0" xr:uid="{A2B452B1-DD1F-4145-AC4D-DB674E05B25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https://www.bamsec.com/filing/115752323001202/2?cik=4281&amp;table=6</t>
        </r>
      </text>
    </comment>
    <comment ref="M174" authorId="0" shapeId="0" xr:uid="{06927690-8221-4476-A93E-0E883AE0970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https://www.bamsec.com/filing/115752323001618/2?cik=4281&amp;table=4</t>
        </r>
      </text>
    </comment>
    <comment ref="N174" authorId="0" shapeId="0" xr:uid="{1FF92FA3-7312-45D9-8BEE-012EFE1844A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https://www.bamsec.com/filing/115752324000226/2?cik=4281&amp;table=6</t>
        </r>
      </text>
    </comment>
    <comment ref="O174" authorId="0" shapeId="0" xr:uid="{28F60D5B-9F19-425E-BB3F-1583B3D5B5F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https://www.bamsec.com/filing/110465924055980/2?cik=4281&amp;table=21</t>
        </r>
      </text>
    </comment>
    <comment ref="P174" authorId="0" shapeId="0" xr:uid="{68457FD7-BBFA-4F5E-A556-BE62365FC9F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https://www.bamsec.com/filing/110465924083733/2?cik=4281&amp;table=10</t>
        </r>
      </text>
    </comment>
    <comment ref="Q174" authorId="0" shapeId="0" xr:uid="{2B8D0638-AB6D-4D95-B9B0-9595E8FE884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https://www.bamsec.com/filing/110465924114539/2?cik=4281&amp;table=24</t>
        </r>
      </text>
    </comment>
    <comment ref="AC196" authorId="0" shapeId="0" xr:uid="{825B8E3F-C328-49C2-B50D-33B8B11862D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average</t>
        </r>
      </text>
    </comment>
    <comment ref="C202" authorId="0" shapeId="0" xr:uid="{18BDD87F-2535-45D3-99DD-2E5492654ED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https://www.bamsec.com/filing/115752321001332/2?cik=4281&amp;table=16</t>
        </r>
      </text>
    </comment>
    <comment ref="D202" authorId="0" shapeId="0" xr:uid="{2C3BCDE0-75D7-4E35-9387-75AFB339A8A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https://www.bamsec.com/filing/115752321001332/2?cik=4281&amp;table=16</t>
        </r>
      </text>
    </comment>
    <comment ref="E202" authorId="0" shapeId="0" xr:uid="{9C3F3DF1-5EAE-42D2-A3E2-50F2147D1D2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https://www.bamsec.com/filing/115752321001332/2?cik=4281&amp;table=16</t>
        </r>
      </text>
    </comment>
    <comment ref="F202" authorId="0" shapeId="0" xr:uid="{405DF121-6F41-40CB-8EEF-ED2CD0DDBB9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https://www.bamsec.com/filing/115752322000133/2?cik=4281&amp;table=18</t>
        </r>
      </text>
    </comment>
    <comment ref="G202" authorId="0" shapeId="0" xr:uid="{F44D4FF8-53A5-4793-864B-2AAF2E71BF8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https://www.bamsec.com/filing/115752322000538/2?cik=4281&amp;table=9</t>
        </r>
      </text>
    </comment>
    <comment ref="H202" authorId="0" shapeId="0" xr:uid="{5E6868F0-41AB-4648-B635-0D1A77F7196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https://www.bamsec.com/filing/115752322001026/2?cik=4281&amp;table=11</t>
        </r>
      </text>
    </comment>
    <comment ref="I202" authorId="0" shapeId="0" xr:uid="{A781980A-8EC0-4DA5-B60B-297A6506B64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https://www.bamsec.com/filing/115752322001429/2?cik=4281&amp;table=14</t>
        </r>
      </text>
    </comment>
    <comment ref="J202" authorId="0" shapeId="0" xr:uid="{812E40AE-8CB6-4DB8-B0DE-5EC601D5BA4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https://www.bamsec.com/filing/115752323000273/2?cik=4281&amp;table=12</t>
        </r>
      </text>
    </comment>
    <comment ref="K202" authorId="0" shapeId="0" xr:uid="{8E34B5B5-E56F-4121-80E8-8CC3F0423F4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https://www.bamsec.com/filing/115752323000673/2?cik=4281&amp;table=13</t>
        </r>
      </text>
    </comment>
    <comment ref="L202" authorId="0" shapeId="0" xr:uid="{BF38AF23-60AA-407F-AC69-D2E8E8F5B0D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https://www.bamsec.com/filing/115752323001202/2?cik=4281&amp;table=14</t>
        </r>
      </text>
    </comment>
    <comment ref="M202" authorId="0" shapeId="0" xr:uid="{8A6DBB74-6E8C-4662-9585-97198A937D3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https://www.bamsec.com/filing/115752323001618/2?cik=4281&amp;table=12</t>
        </r>
      </text>
    </comment>
    <comment ref="N202" authorId="0" shapeId="0" xr:uid="{20170DBA-2CAE-4CFD-9144-33C1181142E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https://www.bamsec.com/filing/115752324000226/2?cik=4281&amp;table=18</t>
        </r>
      </text>
    </comment>
    <comment ref="O202" authorId="0" shapeId="0" xr:uid="{D56EB245-F736-453E-850F-DFA92D8F4C8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https://www.bamsec.com/filing/110465924055980/2?cik=4281&amp;table=31</t>
        </r>
      </text>
    </comment>
    <comment ref="P202" authorId="0" shapeId="0" xr:uid="{6C9373EF-1218-42B3-AB46-15111778DDB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https://www.bamsec.com/filing/110465924083733/2?cik=4281&amp;table=18</t>
        </r>
      </text>
    </comment>
    <comment ref="Q202" authorId="0" shapeId="0" xr:uid="{82761D7B-661D-48D8-81CD-4A18B8D7882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https://www.bamsec.com/filing/110465924114539/2?cik=4281&amp;table=34</t>
        </r>
      </text>
    </comment>
    <comment ref="Q284" authorId="0" shapeId="0" xr:uid="{6FD74754-F1AC-4A8A-8E97-FACB599B574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2.239bn remaining in repo program Q3'24</t>
        </r>
      </text>
    </comment>
    <comment ref="AO363" authorId="0" shapeId="0" xr:uid="{7DA283E0-B606-4C57-8F3A-0634CDB4894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1 year downside NTM EV / EBITDA multiple applied to CONSENSUS EBITDA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L3" authorId="0" shapeId="0" xr:uid="{8E2FF076-3B6D-4805-B178-5E49F6A8C19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https://www.eia.gov/electricity/data/eia860/index.php</t>
        </r>
      </text>
    </comment>
    <comment ref="AG6" authorId="0" shapeId="0" xr:uid="{50EE5F69-601E-4DE7-880C-F40160571F3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effective date</t>
        </r>
      </text>
    </comment>
    <comment ref="AH6" authorId="0" shapeId="0" xr:uid="{A6318234-98BA-47A6-8327-C644E023210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effective date</t>
        </r>
      </text>
    </comment>
    <comment ref="AI6" authorId="0" shapeId="0" xr:uid="{2D8F2B8F-3926-4173-A4BD-4DC0C9A6121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effective date</t>
        </r>
      </text>
    </comment>
    <comment ref="AJ6" authorId="0" shapeId="0" xr:uid="{437C6C27-5725-48E8-B4B3-8F4576C4767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effective date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U26" authorId="0" shapeId="0" xr:uid="{5FB20595-3124-443E-BF55-BE9D0AD4CC8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koyfin CONS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G7" authorId="0" shapeId="0" xr:uid="{E268CEEF-CEF8-4B19-8A06-6133850D7C6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Gartner predicts power shortages will restrict 40% of AI data centers by 2027
https://www.gartner.com/en/newsroom/press-releases/2024-11-12-gartner-predicts-power-shortages-will-restrict-40-percent-of-ai-data-centers-by-20270</t>
        </r>
      </text>
    </comment>
    <comment ref="D11" authorId="0" shapeId="0" xr:uid="{F6AEB8D4-D1B3-450F-8643-D4639834CB1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2/3 BTM application : based on thundersaidenergy estimate for front of the meter application use vs. renewables</t>
        </r>
      </text>
    </comment>
    <comment ref="E11" authorId="0" shapeId="0" xr:uid="{C5BD4C87-8D79-42E1-98B8-037B739DE31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2/3 BTM application : based on thundersaidenergy estimate for front of the meter application use vs. renewables</t>
        </r>
      </text>
    </comment>
    <comment ref="F11" authorId="0" shapeId="0" xr:uid="{9AC19073-239E-4C66-81DF-DBB1725A962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2/3 BTM application : based on thundersaidenergy estimate for front of the meter application use vs. renewables</t>
        </r>
      </text>
    </comment>
    <comment ref="G11" authorId="0" shapeId="0" xr:uid="{453B7C0C-BDC2-49BE-A376-3928E4230D2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2/3 BTM application : based on thundersaidenergy estimate for front of the meter application use vs. renewables</t>
        </r>
      </text>
    </comment>
    <comment ref="H11" authorId="0" shapeId="0" xr:uid="{B665BDB2-934D-4E95-B910-EE8D4090671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2/3 BTM application : based on thundersaidenergy estimate for front of the meter application use vs. renewables</t>
        </r>
      </text>
    </comment>
    <comment ref="I11" authorId="0" shapeId="0" xr:uid="{BF963F28-454D-45FA-B1A8-58465F4E9BD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2/3 BTM application : based on thundersaidenergy estimate for front of the meter application use vs. renewables</t>
        </r>
      </text>
    </comment>
    <comment ref="J11" authorId="0" shapeId="0" xr:uid="{DA7A5513-35C9-468B-9965-2DEFDBA98DA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2/3 BTM application : based on thundersaidenergy estimate for front of the meter application use vs. renewables</t>
        </r>
      </text>
    </comment>
    <comment ref="D15" authorId="0" shapeId="0" xr:uid="{B8F03622-EA81-4E1D-BBB4-72E3D1E1774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expecting smaller, modular aeroderivative units to be popular so data centers can build capacity incrementally
Consistent with mobile gas turbine business APR Energy approach</t>
        </r>
      </text>
    </comment>
    <comment ref="D21" authorId="0" shapeId="0" xr:uid="{3F0264F3-072C-4E09-A5F6-A91317080C2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two engines per unit aircraft = 2x airfoils per 1 engine per unit gas turbine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7" authorId="0" shapeId="0" xr:uid="{934C86AD-8A04-49B7-8139-51CEC7E8D47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HWM Effective tax rate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G12" authorId="0" shapeId="0" xr:uid="{8BF56981-C2ED-4EA0-A17A-A104B0A788B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20 yr treasury as of 12/27/24
https://home.treasury.gov/resource-center/data-chart-center/interest-rates/TextView?type=daily_treasury_yield_curve&amp;field_tdr_date_value=20</t>
        </r>
      </text>
    </comment>
    <comment ref="G18" authorId="0" shapeId="0" xr:uid="{3B4D0D62-D0CB-42AF-BE23-31498A0ECD3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Effective tax rate ('23/'24)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D3" authorId="0" shapeId="0" xr:uid="{D31A51E6-5021-44C9-BFD5-4371F9E791E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M10" authorId="0" shapeId="0" xr:uid="{3D094A33-7AC0-420A-B08B-5C373820552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M13" authorId="0" shapeId="0" xr:uid="{A8A09B0B-45D5-4013-B379-6F0DD91D758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M14" authorId="0" shapeId="0" xr:uid="{61D6B782-E0B8-4F83-96C2-0C6F0B8EE5A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M15" authorId="0" shapeId="0" xr:uid="{4A6C93AE-CDD1-4944-938F-EE7FAFA6256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M25" authorId="0" shapeId="0" xr:uid="{2CBAA9CF-DEFA-4857-8ADE-F0300C6D4EC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M26" authorId="0" shapeId="0" xr:uid="{3D0549C5-4B83-4624-881E-F08E4425B01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M27" authorId="0" shapeId="0" xr:uid="{490F8E6D-85C5-4BD7-B815-8E8B6F2B92E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M28" authorId="0" shapeId="0" xr:uid="{8BE02886-AA61-4E74-BFC6-3D4EEA42623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F4" authorId="0" shapeId="0" xr:uid="{860935DD-541D-4E60-9BBD-A13F3476B0D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calculated when consensus model switches are on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G3" authorId="0" shapeId="0" xr:uid="{CD99A001-5C94-4A6D-8597-45B46819D38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https://www.bamsec.com/filing/428124000034/1?cik=4281&amp;table=12</t>
        </r>
      </text>
    </comment>
    <comment ref="I3" authorId="0" shapeId="0" xr:uid="{406881EA-21A6-4CAD-9BDB-99C0043A7BA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https://www.bamsec.com/filing/428124000034/1?cik=4281&amp;table=12</t>
        </r>
      </text>
    </comment>
    <comment ref="J3" authorId="0" shapeId="0" xr:uid="{72A2D37D-3ABC-48EF-AB40-E771729D2DD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https://www.bamsec.com/filing/428124000034/1?cik=4281&amp;table=12</t>
        </r>
      </text>
    </comment>
    <comment ref="U3" authorId="0" shapeId="0" xr:uid="{53D5D07A-5D95-4417-975A-D0605AFDF53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See WACC tab</t>
        </r>
      </text>
    </comment>
    <comment ref="AA3" authorId="0" shapeId="0" xr:uid="{D563F155-76B5-4E76-8EBD-D7FAD7A749D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AB3" authorId="0" shapeId="0" xr:uid="{755458BD-1483-483C-9FAF-55AEF999361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CONS</t>
        </r>
      </text>
    </comment>
    <comment ref="I5" authorId="0" shapeId="0" xr:uid="{0EBEEA68-BE0C-4927-8F04-25B5FF3F7E0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https://www.bamsec.com/filing/103786824000053/1?cik=1037868&amp;table=9</t>
        </r>
      </text>
    </comment>
    <comment ref="J5" authorId="0" shapeId="0" xr:uid="{7757B84D-9F6C-450E-AFFA-8DD1321759C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https://www.bamsec.com/filing/103786824000053/1?cik=1037868&amp;table=9</t>
        </r>
      </text>
    </comment>
    <comment ref="U5" authorId="0" shapeId="0" xr:uid="{B7A50442-D342-4C79-8CF2-01C07AB1945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See WACC tab</t>
        </r>
      </text>
    </comment>
    <comment ref="I6" authorId="0" shapeId="0" xr:uid="{CD959315-142D-4A63-A05A-0260AF9B482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https://www.bamsec.com/filing/155837024013696/1?cik=820313&amp;table=5</t>
        </r>
      </text>
    </comment>
    <comment ref="J6" authorId="0" shapeId="0" xr:uid="{F71FC399-08DC-4123-A50B-056580D93C4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https://www.bamsec.com/filing/155837024013696/1?cik=820313&amp;table=5</t>
        </r>
      </text>
    </comment>
    <comment ref="U6" authorId="0" shapeId="0" xr:uid="{55DCED5C-490C-49DA-912B-F5C191B7682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See WACC tab</t>
        </r>
      </text>
    </comment>
    <comment ref="I7" authorId="0" shapeId="0" xr:uid="{4CBCE7F6-CA79-45B2-8954-EB283832133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https://www.bamsec.com/filing/4661924000111/1?cik=46619&amp;table=23</t>
        </r>
      </text>
    </comment>
    <comment ref="J7" authorId="0" shapeId="0" xr:uid="{EC3FC082-C955-4CEB-BF41-E4192253A56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https://www.bamsec.com/filing/4661924000111/1?cik=46619&amp;table=23</t>
        </r>
      </text>
    </comment>
    <comment ref="U7" authorId="0" shapeId="0" xr:uid="{62B20505-FA07-4710-A5F2-274AB0A658F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See WACC tab</t>
        </r>
      </text>
    </comment>
    <comment ref="I8" authorId="0" shapeId="0" xr:uid="{2DAA44C6-2E88-4DB2-ADFC-A4A2F8C9674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https://www.bamsec.com/filing/83210124000055/1?cik=832101&amp;table=10</t>
        </r>
      </text>
    </comment>
    <comment ref="J8" authorId="0" shapeId="0" xr:uid="{C4869CC5-ADED-44F0-A3E5-2430002F7B4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https://www.bamsec.com/filing/83210124000055/1?cik=832101&amp;table=10</t>
        </r>
      </text>
    </comment>
    <comment ref="U8" authorId="0" shapeId="0" xr:uid="{993946F8-53E3-4E12-87F1-EA09B86C625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See WACC tab</t>
        </r>
      </text>
    </comment>
    <comment ref="I9" authorId="0" shapeId="0" xr:uid="{96D50195-60D9-4298-B79C-A880595EB5B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https://www.bamsec.com/filing/88283524000044/1?cik=882835&amp;table=8</t>
        </r>
      </text>
    </comment>
    <comment ref="J9" authorId="0" shapeId="0" xr:uid="{72E6D58F-2597-485C-B2C4-30BEB11C39F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https://www.bamsec.com/filing/88283524000044/1?cik=882835&amp;table=8</t>
        </r>
      </text>
    </comment>
    <comment ref="U9" authorId="0" shapeId="0" xr:uid="{193CCAA4-9BC5-4581-9261-E8F6C7971A9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See WACC tab</t>
        </r>
      </text>
    </comment>
    <comment ref="I10" authorId="0" shapeId="0" xr:uid="{8FBE8CD1-B9A5-43D4-A67B-00D70F2B8B2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https://www.bamsec.com/filing/162828024043698/1?cik=1674101&amp;hl=7433:7440&amp;hl_id=ejn5sgnsbx</t>
        </r>
      </text>
    </comment>
    <comment ref="J10" authorId="0" shapeId="0" xr:uid="{A29482CA-6272-4143-9B18-0F26282FEB0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https://www.bamsec.com/filing/162828024043698/1?cik=1674101&amp;hl=6283:6290&amp;hl_id=4y1jbxehbe</t>
        </r>
      </text>
    </comment>
    <comment ref="U10" authorId="0" shapeId="0" xr:uid="{B02B31EB-FB5E-4DC4-8C61-7C088B0B086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See WACC tab</t>
        </r>
      </text>
    </comment>
    <comment ref="I11" authorId="0" shapeId="0" xr:uid="{0FA6F497-DA54-4716-A789-F009F4A9FAE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https://www.bamsec.com/filing/155118224000041/1?cik=1551182&amp;table=9</t>
        </r>
      </text>
    </comment>
    <comment ref="J11" authorId="0" shapeId="0" xr:uid="{509090BC-94A2-4548-B4F3-E5A08DC2B8F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https://www.bamsec.com/filing/155118224000041/1?cik=1551182&amp;table=9</t>
        </r>
      </text>
    </comment>
    <comment ref="U11" authorId="0" shapeId="0" xr:uid="{763E8356-4CC3-4677-91F4-DA62571B605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See WACC tab</t>
        </r>
      </text>
    </comment>
    <comment ref="I12" authorId="0" shapeId="0" xr:uid="{313D5EBB-0ED5-4D0F-AE0C-B26FF939DF3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https://www.bamsec.com/filing/126022124000083/1?cik=1260221&amp;table=80</t>
        </r>
      </text>
    </comment>
    <comment ref="J12" authorId="0" shapeId="0" xr:uid="{C7091C4E-4C2A-49C9-B89D-A8A3C3F6238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https://www.bamsec.com/filing/126022124000083/1?cik=1260221&amp;table=80</t>
        </r>
      </text>
    </comment>
    <comment ref="U12" authorId="0" shapeId="0" xr:uid="{72365ACC-28F2-4B9F-8C14-80842C0687B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See WACC tab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3" authorId="0" shapeId="0" xr:uid="{EA275EF6-5429-433E-AFA9-0F50B45CFE4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marginal US corp tax rate</t>
        </r>
      </text>
    </comment>
    <comment ref="E3" authorId="0" shapeId="0" xr:uid="{E2C52E54-E24C-4016-A6FF-00E12E4DEF0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marginal US corp tax rate</t>
        </r>
      </text>
    </comment>
    <comment ref="F3" authorId="0" shapeId="0" xr:uid="{F9357944-F33B-4107-B418-D3621DA4B19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marginal US corp tax rate</t>
        </r>
      </text>
    </comment>
    <comment ref="G3" authorId="0" shapeId="0" xr:uid="{C3EF51ED-0974-4A46-A39F-B0CAA746C31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marginal US corp tax rate</t>
        </r>
      </text>
    </comment>
    <comment ref="H3" authorId="0" shapeId="0" xr:uid="{4FEB6447-17F4-44FF-8FFD-0F5BCD1B0A2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marginal US corp tax rate</t>
        </r>
      </text>
    </comment>
    <comment ref="I3" authorId="0" shapeId="0" xr:uid="{D57BDBC6-2A8E-49B5-9BD2-5A8CB9A25E5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marginal US corp tax rate</t>
        </r>
      </text>
    </comment>
    <comment ref="J3" authorId="0" shapeId="0" xr:uid="{6F111755-5886-4E13-8F06-07FBB8F8DEA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marginal US corp tax rate</t>
        </r>
      </text>
    </comment>
    <comment ref="K3" authorId="0" shapeId="0" xr:uid="{E4B2F814-8879-4590-9E4E-BA03BA59A89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marginal US corp tax rate</t>
        </r>
      </text>
    </comment>
    <comment ref="L3" authorId="0" shapeId="0" xr:uid="{97BEB3C7-30D7-46AF-9AAE-CFC7A87814F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marginal US corp tax rate</t>
        </r>
      </text>
    </comment>
    <comment ref="M3" authorId="0" shapeId="0" xr:uid="{786D3796-231C-4581-A653-95126876D5A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marginal US corp tax rate</t>
        </r>
      </text>
    </comment>
    <comment ref="C17" authorId="0" shapeId="0" xr:uid="{4BF57447-D84B-46C4-8DCC-6DA2B724F02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implied WACC see Beta Determination and WACC tabs</t>
        </r>
      </text>
    </comment>
    <comment ref="E17" authorId="0" shapeId="0" xr:uid="{3545BF8B-5ACC-4013-8EA4-1CBC3B001F9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implied WACC see Beta Determination and WACC tabs</t>
        </r>
      </text>
    </comment>
    <comment ref="F17" authorId="0" shapeId="0" xr:uid="{26258982-E94C-42EB-BA6A-4BDF6E23E81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implied WACC see Beta Determination and WACC tabs</t>
        </r>
      </text>
    </comment>
    <comment ref="G17" authorId="0" shapeId="0" xr:uid="{584E5A96-51AA-400D-81D6-8ACC40112FF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implied WACC see Beta Determination and WACC tabs</t>
        </r>
      </text>
    </comment>
    <comment ref="H17" authorId="0" shapeId="0" xr:uid="{7DD70455-F990-434E-93B9-C9D2EC14466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implied WACC see Beta Determination and WACC tabs</t>
        </r>
      </text>
    </comment>
    <comment ref="I17" authorId="0" shapeId="0" xr:uid="{AACD6476-199E-4715-A288-FFE72134939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implied WACC see Beta Determination and WACC tabs</t>
        </r>
      </text>
    </comment>
    <comment ref="J17" authorId="0" shapeId="0" xr:uid="{ABAFFFF6-FDDC-4CA5-9247-FF7B72DE55E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implied WACC see Beta Determination and WACC tabs</t>
        </r>
      </text>
    </comment>
    <comment ref="K17" authorId="0" shapeId="0" xr:uid="{2DBCD1BD-B70E-48F7-9382-38DD828EF51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implied WACC see Beta Determination and WACC tabs</t>
        </r>
      </text>
    </comment>
    <comment ref="L17" authorId="0" shapeId="0" xr:uid="{F8AD6F51-5717-43A4-9ECB-C29F0D99D5E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implied WACC see Beta Determination and WACC tabs</t>
        </r>
      </text>
    </comment>
    <comment ref="M17" authorId="0" shapeId="0" xr:uid="{D91A30A7-AB31-4C5F-ADF0-A513B69D147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implied WACC see Beta Determination and WACC tabs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3" authorId="0" shapeId="0" xr:uid="{FBBF42AF-39EE-42EA-8E0B-E7EDBEE62C1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https://www.bamsec.com/filing/126022124000083/1?cik=1260221&amp;hl=4096:4107&amp;hl_id=4kn6pxwsbe</t>
        </r>
      </text>
    </comment>
    <comment ref="B8" authorId="0" shapeId="0" xr:uid="{C0BB6FB0-BDD1-46C2-A196-43B90C2B4EE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https://www.bamsec.com/filing/126022124000083/1?cik=1260221&amp;hl=453402:453410&amp;hl_id=vkjqwoshze</t>
        </r>
      </text>
    </comment>
    <comment ref="B9" authorId="0" shapeId="0" xr:uid="{EBB3EC1E-0F5B-4907-9081-56761571137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https://www.bamsec.com/filing/126022124000083/1?cik=1260221&amp;hl=455166:455176&amp;hl_id=vy_gfiirbg</t>
        </r>
      </text>
    </comment>
    <comment ref="B10" authorId="0" shapeId="0" xr:uid="{B7CB41B3-574D-4517-A505-620170753CF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https://www.bamsec.com/filing/126022124000083/1?cik=1260221&amp;hl=457066:457073&amp;hl_id=4ja_zsjr-l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B8" authorId="0" shapeId="0" xr:uid="{28931DDF-30F8-4C95-86E3-64406B28E77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https://www.bamsec.com/filing/155837024013696/1?cik=820313&amp;hl=64290:64296&amp;hl_id=41vumjobbe</t>
        </r>
      </text>
    </comment>
    <comment ref="E15" authorId="0" shapeId="0" xr:uid="{1FC823A3-EC7C-428D-B880-132D6A3EC27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https://www.bamsec.com/filing/162828024043698/1?cik=1674101&amp;table=7</t>
        </r>
      </text>
    </comment>
    <comment ref="E16" authorId="0" shapeId="0" xr:uid="{CEC478A8-8EE0-4C4D-8DBA-65FB37155AB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https://www.bamsec.com/filing/162828024043698/1?cik=1674101&amp;table=7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3" authorId="0" shapeId="0" xr:uid="{2E6BFCD4-9C71-4B1F-8054-26F3D6E2FE3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https://www.bamsec.com/filing/155118224000041/1?cik=1551182&amp;hl=2579:2585&amp;hl_id=4kmqcgphbl</t>
        </r>
      </text>
    </comment>
    <comment ref="B8" authorId="0" shapeId="0" xr:uid="{21F38C55-546C-4232-B9A1-CDD51443B1E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https://www.bamsec.com/filing/155118224000006/1?cik=1551182&amp;hl=194338:194342&amp;hl_id=vj9v7jjhzl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3" authorId="0" shapeId="0" xr:uid="{3D3A2978-D434-4768-B257-0B7DE36BFAC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https://www.bamsec.com/filing/103786824000053/1?cik=1037868&amp;hl=2926:2937&amp;hl_id=41k5ljebwx</t>
        </r>
      </text>
    </comment>
    <comment ref="B8" authorId="0" shapeId="0" xr:uid="{A2EA3B3B-EC7C-495C-B016-E2637F8C2DB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https://www.bamsec.com/filing/103786824000053/1?cik=1037868&amp;hl=33895:33901&amp;hl_id=4y0dmjibwe</t>
        </r>
      </text>
    </comment>
    <comment ref="B9" authorId="0" shapeId="0" xr:uid="{A86E4CC0-6345-4F83-A1F8-4A880C88816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https://www.bamsec.com/filing/103786824000053/1?cik=1037868&amp;table=33</t>
        </r>
      </text>
    </comment>
    <comment ref="B10" authorId="0" shapeId="0" xr:uid="{63B0D32C-C574-49D3-8EC8-CD9DBA2596B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https://www.bamsec.com/filing/103786824000053/1?cik=1037868&amp;table=33</t>
        </r>
      </text>
    </comment>
    <comment ref="E16" authorId="0" shapeId="0" xr:uid="{744711E4-CECF-4330-A0B6-AA7F6E958BD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https://www.bamsec.com/filing/103786824000053/1?cik=1037868&amp;table=9</t>
        </r>
      </text>
    </comment>
    <comment ref="E17" authorId="0" shapeId="0" xr:uid="{2F0C9EBF-4789-4E5A-BB95-87FEF6B3684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https://www.bamsec.com/filing/103786824000053/1?cik=1037868&amp;table=9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3" authorId="0" shapeId="0" xr:uid="{4442E9C5-32B1-431A-AF21-8B0D7D048A2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https://www.bamsec.com/filing/428124000034/1?cik=4281&amp;hl=2604:2615&amp;hl_id=e1mendmhwx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3" authorId="0" shapeId="0" xr:uid="{6AA55892-154A-43C7-81F7-FF7678EA38F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https://www.bamsec.com/filing/83210124000055/1?cik=832101&amp;hl=2577:2587&amp;hl_id=ej4tsj4s-l</t>
        </r>
      </text>
    </comment>
    <comment ref="B8" authorId="0" shapeId="0" xr:uid="{D954187A-AF80-44B0-B25C-01A7F5453D9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https://www.bamsec.com/filing/83210124000055/1?cik=832101&amp;hl=58330:58338&amp;hl_id=ey5-eosbzl</t>
        </r>
      </text>
    </comment>
    <comment ref="B9" authorId="0" shapeId="0" xr:uid="{1957E036-8AEB-4023-9DE4-CB93AAA3CD3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https://www.bamsec.com/filing/83210124000055/1?cik=832101&amp;hl=59397:59405&amp;hl_id=vjafejibwe</t>
        </r>
      </text>
    </comment>
    <comment ref="B10" authorId="0" shapeId="0" xr:uid="{AD2D09A5-654A-42C1-AD61-A0556C4558B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https://www.bamsec.com/filing/83210124000055/1?cik=832101&amp;hl=61151:61158&amp;hl_id=v1tvnjiszg</t>
        </r>
      </text>
    </comment>
    <comment ref="E16" authorId="0" shapeId="0" xr:uid="{C6BB3583-1E17-4180-99DF-805DC930F22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https://www.bamsec.com/filing/83210124000055/1?cik=832101&amp;table=10</t>
        </r>
      </text>
    </comment>
    <comment ref="E17" authorId="0" shapeId="0" xr:uid="{91E1D3D4-2BD4-4F51-8A8D-A280403BDD4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https://www.bamsec.com/filing/83210124000055/1?cik=832101&amp;table=10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B8" authorId="0" shapeId="0" xr:uid="{B7D92BC7-5167-431E-BCF4-8BE0B8D1E8C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https://www.bamsec.com/filing/88283524000008/1?cik=882835&amp;hl=206454:206460&amp;hl_id=41zo4ish-e</t>
        </r>
      </text>
    </comment>
    <comment ref="B9" authorId="0" shapeId="0" xr:uid="{85512A37-8A6A-4B7E-B4BD-9CA30D50D18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https://www.bamsec.com/filing/88283524000008/1?cik=882835&amp;hl=207828:207834&amp;hl_id=ejttnoobwx</t>
        </r>
      </text>
    </comment>
    <comment ref="E15" authorId="0" shapeId="0" xr:uid="{8081010E-3C8A-4FD9-97C5-03AA3698AB9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https://www.bamsec.com/filing/88283524000044/1?cik=882835&amp;hl=6418:6425&amp;hl_id=vj-8a14rwx</t>
        </r>
      </text>
    </comment>
    <comment ref="E16" authorId="0" shapeId="0" xr:uid="{6C6C7F91-3BA1-4476-A243-2D1BE3E6C77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https://www.bamsec.com/filing/88283524000044/1?cik=882835&amp;table=8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B8" authorId="0" shapeId="0" xr:uid="{60103B65-C36A-4FEF-ABEB-793C23191F2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https://www.bamsec.com/filing/4661924000111/1?cik=46619&amp;hl=266884:266890&amp;hl_id=nkjgrosb-g</t>
        </r>
      </text>
    </comment>
    <comment ref="E15" authorId="0" shapeId="0" xr:uid="{23A827ED-AC52-4D29-AC56-D45F1E1696B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https://www.bamsec.com/filing/4661924000111/1?cik=46619&amp;table=23</t>
        </r>
      </text>
    </comment>
    <comment ref="E16" authorId="0" shapeId="0" xr:uid="{42A1B324-60CD-41E3-89D3-3C7D701DD5D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https://www.bamsec.com/filing/4661924000111/1?cik=46619&amp;table=23</t>
        </r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B8" authorId="0" shapeId="0" xr:uid="{57D2718B-FBCB-4F47-9AA2-54C1C658BF7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https://www.bamsec.com/filing/162828024006498/1?cik=1674101&amp;hl=375300:375311&amp;hl_id=4yturssrbx</t>
        </r>
      </text>
    </comment>
    <comment ref="B9" authorId="0" shapeId="0" xr:uid="{017D8A9D-C3AD-49A0-9AD9-B4353BE0767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https://www.bamsec.com/filing/162828024006498/1?cik=1674101&amp;hl=376598:376608&amp;hl_id=nknssjjrzx</t>
        </r>
      </text>
    </comment>
    <comment ref="E15" authorId="0" shapeId="0" xr:uid="{02EDC08B-84A1-4735-810D-BCC421F38CE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https://www.bamsec.com/filing/162828024043698/1?cik=1674101&amp;table=7</t>
        </r>
      </text>
    </comment>
    <comment ref="E16" authorId="0" shapeId="0" xr:uid="{21DFE443-C49B-4E86-BC49-CD08A3A6255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https://www.bamsec.com/filing/162828024043698/1?cik=1674101&amp;table=7</t>
        </r>
      </text>
    </comment>
  </commentList>
</comments>
</file>

<file path=xl/sharedStrings.xml><?xml version="1.0" encoding="utf-8"?>
<sst xmlns="http://schemas.openxmlformats.org/spreadsheetml/2006/main" count="984" uniqueCount="519">
  <si>
    <t>Revenue</t>
  </si>
  <si>
    <t>Aerospace - Commercial</t>
  </si>
  <si>
    <t>Aerospace - Defense</t>
  </si>
  <si>
    <t>Commercial Transportation</t>
  </si>
  <si>
    <t>Industrial and Other</t>
  </si>
  <si>
    <t>Engine Products</t>
  </si>
  <si>
    <t>Fastening Systems</t>
  </si>
  <si>
    <t>Engineered Structures</t>
  </si>
  <si>
    <t>Forged Wheels</t>
  </si>
  <si>
    <t>Total Aerospace - Commercial</t>
  </si>
  <si>
    <t>Ticker</t>
  </si>
  <si>
    <t>Options</t>
  </si>
  <si>
    <t>WAEP</t>
  </si>
  <si>
    <t>Proceeds</t>
  </si>
  <si>
    <t>Total</t>
  </si>
  <si>
    <t>Implied Equity Value</t>
  </si>
  <si>
    <t>Plus: Debt</t>
  </si>
  <si>
    <t>Assumptions</t>
  </si>
  <si>
    <t>Value Date</t>
  </si>
  <si>
    <t>Stub period</t>
  </si>
  <si>
    <t>End</t>
  </si>
  <si>
    <t>Tax Rate</t>
  </si>
  <si>
    <t>WACC</t>
  </si>
  <si>
    <t>PGR</t>
  </si>
  <si>
    <t>Discounted Cash Flow Analysis</t>
  </si>
  <si>
    <t>Terminal Year</t>
  </si>
  <si>
    <t>% Growth</t>
  </si>
  <si>
    <t>EBIT</t>
  </si>
  <si>
    <t>% Margin</t>
  </si>
  <si>
    <t>Plus: D&amp;A</t>
  </si>
  <si>
    <t>Less: Cash Taxes</t>
  </si>
  <si>
    <t>Less: CapEx</t>
  </si>
  <si>
    <t>Less: Change in NWC</t>
  </si>
  <si>
    <t>Unlevered Free Cash Flow</t>
  </si>
  <si>
    <t>Stubbed UFCF</t>
  </si>
  <si>
    <t>Discount Period</t>
  </si>
  <si>
    <t>Discount Factor</t>
  </si>
  <si>
    <t>PV of Free Cash Flows</t>
  </si>
  <si>
    <t>Perpetuity Growth Methodology</t>
  </si>
  <si>
    <t>Discount Rate</t>
  </si>
  <si>
    <t>Perpetuity Growth Rate</t>
  </si>
  <si>
    <t>Discount Factor for TV</t>
  </si>
  <si>
    <t>Free Cash Flow in Terminal Year</t>
  </si>
  <si>
    <t>Terminal Value</t>
  </si>
  <si>
    <t>Present Value of Projection Period</t>
  </si>
  <si>
    <t>Present Value of Terminal Value</t>
  </si>
  <si>
    <t>Implied Enterprise Value</t>
  </si>
  <si>
    <t>Less: Net Debt</t>
  </si>
  <si>
    <t>FDSO</t>
  </si>
  <si>
    <t>Implied DCF Value Per Share</t>
  </si>
  <si>
    <t>Current Price</t>
  </si>
  <si>
    <t xml:space="preserve">Implied Premium / (Discount) to Current </t>
  </si>
  <si>
    <t>Implied Terminal EBITDA Multiple Calculation</t>
  </si>
  <si>
    <t>Adjusted Terminal Valuation</t>
  </si>
  <si>
    <t>Terminal Year EBITDA</t>
  </si>
  <si>
    <t>Implied Terminal EBITDA Multiple</t>
  </si>
  <si>
    <t>Sensitivity Analysis</t>
  </si>
  <si>
    <t>Implied Price per Share</t>
  </si>
  <si>
    <t>Implied Premium / (Discount) to Current Share Price</t>
  </si>
  <si>
    <t>Valuation Sensitivities - PGR &amp; WACC</t>
  </si>
  <si>
    <t>Discount</t>
  </si>
  <si>
    <t>Rate</t>
  </si>
  <si>
    <t>WACC Calculation</t>
  </si>
  <si>
    <t>Prospective Cost of 
Equity and WACC</t>
  </si>
  <si>
    <t>Low</t>
  </si>
  <si>
    <t>High</t>
  </si>
  <si>
    <t>Prospective US Equity Risk Premium</t>
  </si>
  <si>
    <t xml:space="preserve"> </t>
  </si>
  <si>
    <t>Multiply by:  Prospective Levered Equity Beta</t>
  </si>
  <si>
    <t>Corresponding Prospective Unlevered Equity Beta</t>
  </si>
  <si>
    <t>Adjusted Prospective US Equity Risk Premium</t>
  </si>
  <si>
    <t>Add: Risk-Free Rate of Return (Rf)</t>
  </si>
  <si>
    <t>Illustrative Prospective Cost of Equity</t>
  </si>
  <si>
    <t>Multiply by:  Prospective E/(D+E)</t>
  </si>
  <si>
    <t>Cost of Equity Portion</t>
  </si>
  <si>
    <t>Assumed Cost of Debt (Kd)</t>
  </si>
  <si>
    <t>Interest Exp</t>
  </si>
  <si>
    <t>Assumed Tax Rate</t>
  </si>
  <si>
    <t>Tot. Debt</t>
  </si>
  <si>
    <t>After-Tax Cost of Debt</t>
  </si>
  <si>
    <t>Implied Rate</t>
  </si>
  <si>
    <t>Multiply by:  Prospective D/(D+E)</t>
  </si>
  <si>
    <t>Cost of Debt Portion</t>
  </si>
  <si>
    <t>Prospective WACC Range</t>
  </si>
  <si>
    <t>Midpoint WACC</t>
  </si>
  <si>
    <t>Memo:</t>
  </si>
  <si>
    <t>D/E</t>
  </si>
  <si>
    <t>D/(D+E)</t>
  </si>
  <si>
    <t>Market Value of Common Equity</t>
  </si>
  <si>
    <t>Total Debt + Pref Stock</t>
  </si>
  <si>
    <t>Leverage Ratios</t>
  </si>
  <si>
    <t>Company</t>
  </si>
  <si>
    <t>5 Years</t>
  </si>
  <si>
    <t>D / E</t>
  </si>
  <si>
    <t>D / (D + E)</t>
  </si>
  <si>
    <t>Marginal Tax Rate</t>
  </si>
  <si>
    <t>Aerospace Peers</t>
  </si>
  <si>
    <t>Transdigm</t>
  </si>
  <si>
    <t>Mean</t>
  </si>
  <si>
    <t>Median</t>
  </si>
  <si>
    <t>Reference Range - Prospective Unlevered Equity Beta</t>
  </si>
  <si>
    <t>Target Debt / Equity Ratio</t>
  </si>
  <si>
    <t>Refernce Range - Prospective Levered Equity Beta</t>
  </si>
  <si>
    <t>Total Comp Set</t>
  </si>
  <si>
    <t>Total Revenue</t>
  </si>
  <si>
    <t>Income before income taxes</t>
  </si>
  <si>
    <t>Loss on debt redemption</t>
  </si>
  <si>
    <t>Interest expense, net</t>
  </si>
  <si>
    <t>Other expense (income), net</t>
  </si>
  <si>
    <t>Operating income</t>
  </si>
  <si>
    <t>Segment provision for depreciation and amortization</t>
  </si>
  <si>
    <t>Restructuring and other charges (credits)</t>
  </si>
  <si>
    <t>Net Income</t>
  </si>
  <si>
    <t>Operating activities</t>
  </si>
  <si>
    <t>Net income</t>
  </si>
  <si>
    <t>Adjustments to reconcile net income to cash provided from operations:</t>
  </si>
  <si>
    <t>Depreciation and amortization</t>
  </si>
  <si>
    <t>Deferred income taxes</t>
  </si>
  <si>
    <t>Restructuring and other charges</t>
  </si>
  <si>
    <t>Net realized and unrealized losses</t>
  </si>
  <si>
    <t>Net periodic pension cost</t>
  </si>
  <si>
    <t>Stock-based compensation</t>
  </si>
  <si>
    <t>Other</t>
  </si>
  <si>
    <t>Changes in assets and liabilities, excluding effects of acquisitions, divestitures, and foreign currency translation adjustments:</t>
  </si>
  <si>
    <t>Increase in receivables</t>
  </si>
  <si>
    <t>Increase in inventories</t>
  </si>
  <si>
    <t>Decrease (increase) in prepaid expenses and other current assets</t>
  </si>
  <si>
    <t>Decrease in accounts payable, trade</t>
  </si>
  <si>
    <t>Decrease in accrued expenses</t>
  </si>
  <si>
    <t>(Decrease) increase in taxes, including income taxes</t>
  </si>
  <si>
    <t>Pension contributions</t>
  </si>
  <si>
    <t>Increase in noncurrent assets</t>
  </si>
  <si>
    <t>Decrease in noncurrent liabilities</t>
  </si>
  <si>
    <t>Cash provided from operations</t>
  </si>
  <si>
    <t>Financing Activities</t>
  </si>
  <si>
    <t>Additions to debt</t>
  </si>
  <si>
    <t>Repurchases and payments on debt</t>
  </si>
  <si>
    <t>Debt issuance costs</t>
  </si>
  <si>
    <t>Premiums paid on early redemption of debt</t>
  </si>
  <si>
    <t>Repurchases of common stock</t>
  </si>
  <si>
    <t>Proceeds from exercise of employee stock options</t>
  </si>
  <si>
    <t>Dividends paid to shareholders</t>
  </si>
  <si>
    <t>Taxes paid for net share settlement of equity awards</t>
  </si>
  <si>
    <t>Cash used for financing activities</t>
  </si>
  <si>
    <t>Investing Activities</t>
  </si>
  <si>
    <t>Capital expenditures</t>
  </si>
  <si>
    <t>Proceeds from the sale of assets and businesses</t>
  </si>
  <si>
    <t>Cash used for investing activities</t>
  </si>
  <si>
    <t>Effect of exchange rate changes on cash, cash equivalents and restricted cash</t>
  </si>
  <si>
    <t>Net change in cash, cash equivalents and restricted cash</t>
  </si>
  <si>
    <t>Cash, cash equivalents and restricted cash at beginning of period</t>
  </si>
  <si>
    <t>Cash, cash equivalents and restricted cash at end of period</t>
  </si>
  <si>
    <t>Assets</t>
  </si>
  <si>
    <t>Current assets:</t>
  </si>
  <si>
    <t>Cash and cash equivalents</t>
  </si>
  <si>
    <t>Receivables from customers, less allowances of $- in both 2024 and 2023</t>
  </si>
  <si>
    <t>Other receivables</t>
  </si>
  <si>
    <t>Inventories</t>
  </si>
  <si>
    <t>Prepaid expenses and other current assets</t>
  </si>
  <si>
    <t>Total current assets</t>
  </si>
  <si>
    <t>Properties, plants, and equipment, net</t>
  </si>
  <si>
    <t>Goodwill</t>
  </si>
  <si>
    <t>Intangibles, net</t>
  </si>
  <si>
    <t>Other noncurrent assets</t>
  </si>
  <si>
    <t>Total assets</t>
  </si>
  <si>
    <t>Liabilities</t>
  </si>
  <si>
    <t>Current liabilities:</t>
  </si>
  <si>
    <t>Accounts payable, trade</t>
  </si>
  <si>
    <t>Accrued compensation and retirement costs</t>
  </si>
  <si>
    <t>Taxes, including income taxes</t>
  </si>
  <si>
    <t>Accrued interest payable</t>
  </si>
  <si>
    <t>Other current liabilities</t>
  </si>
  <si>
    <t>Short-term debt</t>
  </si>
  <si>
    <t>Total current liabilities</t>
  </si>
  <si>
    <t>Long-term debt, less amount due within one year</t>
  </si>
  <si>
    <t>Accrued pension benefits</t>
  </si>
  <si>
    <t>Accrued other postretirement benefits</t>
  </si>
  <si>
    <t>Other noncurrent liabilities and deferred credits</t>
  </si>
  <si>
    <t>Total liabilities</t>
  </si>
  <si>
    <t>Equity</t>
  </si>
  <si>
    <t>Howmet Aerospace shareholders' equity:</t>
  </si>
  <si>
    <t>Preferred stock</t>
  </si>
  <si>
    <t>Common stock</t>
  </si>
  <si>
    <t>Additional capital</t>
  </si>
  <si>
    <t>Retained earnings</t>
  </si>
  <si>
    <t>Accumulated other comprehensive loss</t>
  </si>
  <si>
    <t>Total equity</t>
  </si>
  <si>
    <t>Total liabilities and equity</t>
  </si>
  <si>
    <t>Total EBITDA</t>
  </si>
  <si>
    <t>Provision for income taxes</t>
  </si>
  <si>
    <t>Diluted EPS</t>
  </si>
  <si>
    <t>Special Items</t>
  </si>
  <si>
    <t>Net Income Ex Special Items</t>
  </si>
  <si>
    <t>Diluted EPS ex Special Items</t>
  </si>
  <si>
    <t>Total Aerospace - Defense</t>
  </si>
  <si>
    <t>Total Commercial Transportation</t>
  </si>
  <si>
    <t>Total Industrial and Other</t>
  </si>
  <si>
    <t>Total Revenue by Product</t>
  </si>
  <si>
    <t>EBITDA by Product</t>
  </si>
  <si>
    <t>% Growth YoY</t>
  </si>
  <si>
    <t>Memo: Tax Rate</t>
  </si>
  <si>
    <t>DSO</t>
  </si>
  <si>
    <t>DIO</t>
  </si>
  <si>
    <t>Prepaids and Other Current Expenses</t>
  </si>
  <si>
    <t>Current Assets</t>
  </si>
  <si>
    <t>Current Liabilities</t>
  </si>
  <si>
    <t>DPO</t>
  </si>
  <si>
    <t>Check</t>
  </si>
  <si>
    <t>NWC</t>
  </si>
  <si>
    <t>Change</t>
  </si>
  <si>
    <t>Howmet</t>
  </si>
  <si>
    <t>24FYQ3</t>
  </si>
  <si>
    <t>Industrial Compounder Peers</t>
  </si>
  <si>
    <t>Heico</t>
  </si>
  <si>
    <t>Ametek</t>
  </si>
  <si>
    <t>Amphenol</t>
  </si>
  <si>
    <t>IDEX</t>
  </si>
  <si>
    <t>Roper</t>
  </si>
  <si>
    <t>Eaton</t>
  </si>
  <si>
    <t>Howmet Marginal Tax Rate</t>
  </si>
  <si>
    <t>Cost of Revenue</t>
  </si>
  <si>
    <t>SG&amp;A</t>
  </si>
  <si>
    <t>R&amp;D</t>
  </si>
  <si>
    <t>Gross Profit</t>
  </si>
  <si>
    <t>Revenue Build</t>
  </si>
  <si>
    <t>Boeing</t>
  </si>
  <si>
    <t>Total Boeing</t>
  </si>
  <si>
    <t>Airbus</t>
  </si>
  <si>
    <t>A320neo</t>
  </si>
  <si>
    <t>A220</t>
  </si>
  <si>
    <t>A350</t>
  </si>
  <si>
    <t>A330neo</t>
  </si>
  <si>
    <t>Total Airbus</t>
  </si>
  <si>
    <t>Embraer</t>
  </si>
  <si>
    <t>Total Embraer</t>
  </si>
  <si>
    <t>Defense Platforms - Deliveries</t>
  </si>
  <si>
    <t>F-16</t>
  </si>
  <si>
    <t>F-35</t>
  </si>
  <si>
    <t>KC-46 Tanker</t>
  </si>
  <si>
    <t>Commercial Aero Ship Set</t>
  </si>
  <si>
    <t>Defense Aero Ship Set</t>
  </si>
  <si>
    <t>Q1 '21</t>
  </si>
  <si>
    <t>Q2 '21</t>
  </si>
  <si>
    <t>Q3 '21</t>
  </si>
  <si>
    <t>Q4 '21</t>
  </si>
  <si>
    <t>Q1 '22</t>
  </si>
  <si>
    <t>Q2 '22</t>
  </si>
  <si>
    <t>Q3 '22</t>
  </si>
  <si>
    <t>Q4 '22</t>
  </si>
  <si>
    <t>Actual</t>
  </si>
  <si>
    <t>Q1 '23</t>
  </si>
  <si>
    <t>Q2 '23</t>
  </si>
  <si>
    <t>Q3 '23</t>
  </si>
  <si>
    <t>Q4 '23</t>
  </si>
  <si>
    <t>Est</t>
  </si>
  <si>
    <t>Q1 '24</t>
  </si>
  <si>
    <t>Q2 '24</t>
  </si>
  <si>
    <t>Q3 '24</t>
  </si>
  <si>
    <t>Q4 '24</t>
  </si>
  <si>
    <t>Q1 '25</t>
  </si>
  <si>
    <t>Q2 '25</t>
  </si>
  <si>
    <t>Q3 '25</t>
  </si>
  <si>
    <t>Q4 '25</t>
  </si>
  <si>
    <t>Working Capital</t>
  </si>
  <si>
    <t>Credit Stats</t>
  </si>
  <si>
    <t>Debt Analysis</t>
  </si>
  <si>
    <t>Total Debt / Equity</t>
  </si>
  <si>
    <t>Total Liabilities / Total Assets</t>
  </si>
  <si>
    <t>Interest Rate Coverage</t>
  </si>
  <si>
    <t>EBITDA / Interest Expense</t>
  </si>
  <si>
    <t>(EBITDA - CapEx) / Interest Expense</t>
  </si>
  <si>
    <t>Debt Coverage</t>
  </si>
  <si>
    <t>Total Debt / EBITDA</t>
  </si>
  <si>
    <t>Net Debt / EBITDA</t>
  </si>
  <si>
    <t>Cash Flow Statement</t>
  </si>
  <si>
    <t>Balance Sheet</t>
  </si>
  <si>
    <t>Total Commercial Aero Units</t>
  </si>
  <si>
    <t>Aerospace Deliveries (Units)</t>
  </si>
  <si>
    <t>Revenue By Segment</t>
  </si>
  <si>
    <t>By Product Segment</t>
  </si>
  <si>
    <t>AH-64 Apache (New)</t>
  </si>
  <si>
    <t>AH-64 Apache (Remanufactured)</t>
  </si>
  <si>
    <t>CH-47 Chinook (New)</t>
  </si>
  <si>
    <t>CH-47 Chinook (Renewed)</t>
  </si>
  <si>
    <t>F-15 Models</t>
  </si>
  <si>
    <t>F/A-18 Models</t>
  </si>
  <si>
    <t>P-8 Models</t>
  </si>
  <si>
    <t>MH-139</t>
  </si>
  <si>
    <t>T-7A Red Hawk</t>
  </si>
  <si>
    <t>C-130J</t>
  </si>
  <si>
    <t>International military helicopter programs</t>
  </si>
  <si>
    <t>Government helicopter programs</t>
  </si>
  <si>
    <t>Growth YoY</t>
  </si>
  <si>
    <t>Lockheed</t>
  </si>
  <si>
    <t>Ship Set Growth p/a</t>
  </si>
  <si>
    <t>Sales</t>
  </si>
  <si>
    <t>EBITDA</t>
  </si>
  <si>
    <t>CAGR</t>
  </si>
  <si>
    <t>YoY Growth</t>
  </si>
  <si>
    <t>Utility Constrain %</t>
  </si>
  <si>
    <t>Utility Constrained MW</t>
  </si>
  <si>
    <t>Avg. MW / unit</t>
  </si>
  <si>
    <t># of Units</t>
  </si>
  <si>
    <t>Gas Turbine Capture</t>
  </si>
  <si>
    <t>Gas Turbine MW</t>
  </si>
  <si>
    <t>$ / Gas Turbine Volume</t>
  </si>
  <si>
    <t>Premium / (Discount) to Commercial Aero Ship Set</t>
  </si>
  <si>
    <t>Data Center Impact</t>
  </si>
  <si>
    <t>'23-'30 CAGR</t>
  </si>
  <si>
    <t>Memo: Engine Products Commercial Aero Ship Set</t>
  </si>
  <si>
    <t>Total Engine Products</t>
  </si>
  <si>
    <t>% of Revenue</t>
  </si>
  <si>
    <t>Adj. EBITDA</t>
  </si>
  <si>
    <t>Corporate Expense</t>
  </si>
  <si>
    <t>HWM</t>
  </si>
  <si>
    <t>Bombardier</t>
  </si>
  <si>
    <t>Light</t>
  </si>
  <si>
    <t>Medium</t>
  </si>
  <si>
    <t>Large</t>
  </si>
  <si>
    <t>Total Bombardier</t>
  </si>
  <si>
    <t>EBITDA - CapEx</t>
  </si>
  <si>
    <t>Other current liabilities % of revenue</t>
  </si>
  <si>
    <t>Other Cash Flow Assumptions</t>
  </si>
  <si>
    <t>Dividend Payout Ratio</t>
  </si>
  <si>
    <t>DPS</t>
  </si>
  <si>
    <t>CapEx % Sales</t>
  </si>
  <si>
    <t>D&amp;A % of Sales</t>
  </si>
  <si>
    <t>Memo: Commercial Aero Engine Products Ship Set</t>
  </si>
  <si>
    <t>As of</t>
  </si>
  <si>
    <t>Company Name</t>
  </si>
  <si>
    <t>Current Share Price</t>
  </si>
  <si>
    <t>Market Cap</t>
  </si>
  <si>
    <t>Net Debt</t>
  </si>
  <si>
    <t>TEV</t>
  </si>
  <si>
    <t>BVE</t>
  </si>
  <si>
    <t>ROIC</t>
  </si>
  <si>
    <t>IC</t>
  </si>
  <si>
    <t>EV / IC</t>
  </si>
  <si>
    <t>Excess Returns</t>
  </si>
  <si>
    <t>EV / '24 EBITDA</t>
  </si>
  <si>
    <t>EV / '24 EBIT</t>
  </si>
  <si>
    <t>2024 Rev</t>
  </si>
  <si>
    <t>2024 GP</t>
  </si>
  <si>
    <t>AME</t>
  </si>
  <si>
    <t>APH</t>
  </si>
  <si>
    <t>HEI</t>
  </si>
  <si>
    <t>IEX</t>
  </si>
  <si>
    <t>ROP</t>
  </si>
  <si>
    <t>VRT</t>
  </si>
  <si>
    <t>Vertiv</t>
  </si>
  <si>
    <t>ETN</t>
  </si>
  <si>
    <t>TDG</t>
  </si>
  <si>
    <t>Equation</t>
  </si>
  <si>
    <t>Implied EV / IC Multiple</t>
  </si>
  <si>
    <t>HWM Invested Capital</t>
  </si>
  <si>
    <t>HWM Implied Valuation</t>
  </si>
  <si>
    <t>Implied TEV / '24 EBITDA</t>
  </si>
  <si>
    <t>Implied Equity</t>
  </si>
  <si>
    <t>Implied Share Price</t>
  </si>
  <si>
    <t>Premium to Current</t>
  </si>
  <si>
    <t>GEV</t>
  </si>
  <si>
    <t>NOPAT</t>
  </si>
  <si>
    <t>Capitalized Current NOPAT</t>
  </si>
  <si>
    <t>PV Projected Period</t>
  </si>
  <si>
    <t>Current EV</t>
  </si>
  <si>
    <t>Less: PV Projected Period</t>
  </si>
  <si>
    <t>Implied PV of TV</t>
  </si>
  <si>
    <t>Implied FV of TV</t>
  </si>
  <si>
    <t>Implied Perp Growth</t>
  </si>
  <si>
    <t>Less: Current NOPAT</t>
  </si>
  <si>
    <t>Implied TV</t>
  </si>
  <si>
    <t>Implied Future Value</t>
  </si>
  <si>
    <t>Capitalized 2023A NOPAT</t>
  </si>
  <si>
    <t>PV of 2024 -2026E NOPAT</t>
  </si>
  <si>
    <t>Basic shares</t>
  </si>
  <si>
    <t>ITM?</t>
  </si>
  <si>
    <t>Total FDSO</t>
  </si>
  <si>
    <t>Fully Dilluted Market Cap</t>
  </si>
  <si>
    <t>Less: Cash</t>
  </si>
  <si>
    <t>Enterprise Value</t>
  </si>
  <si>
    <t>MW Capacity Installed</t>
  </si>
  <si>
    <t>Total Revenue by End Market</t>
  </si>
  <si>
    <t>Aero-Commercial</t>
  </si>
  <si>
    <t>Aero- Defense</t>
  </si>
  <si>
    <t>Commercial Transport</t>
  </si>
  <si>
    <t>Turbine - aeroderivative</t>
  </si>
  <si>
    <t>Cost per kW</t>
  </si>
  <si>
    <t>Wind power</t>
  </si>
  <si>
    <t>Solar PV with storage</t>
  </si>
  <si>
    <t>Nuclear</t>
  </si>
  <si>
    <t>Solar photovoltaic</t>
  </si>
  <si>
    <t>Battery Storage</t>
  </si>
  <si>
    <t>Fuel Cells</t>
  </si>
  <si>
    <t>Turbine - industrial</t>
  </si>
  <si>
    <t>31%=.0193x</t>
  </si>
  <si>
    <t>Aero-Commercial Units</t>
  </si>
  <si>
    <t>Implied Ship Set</t>
  </si>
  <si>
    <t>Aero-Defense Units</t>
  </si>
  <si>
    <t>Aero- Commercial</t>
  </si>
  <si>
    <t>Industrial &amp; Other</t>
  </si>
  <si>
    <t>Total Sales</t>
  </si>
  <si>
    <t>Memo : Data Center Sales</t>
  </si>
  <si>
    <t>Total Adj. EBITDA</t>
  </si>
  <si>
    <t>Segment Adj. EBITDA</t>
  </si>
  <si>
    <t>Margin %</t>
  </si>
  <si>
    <t>CapEx</t>
  </si>
  <si>
    <t>Aero Units</t>
  </si>
  <si>
    <t>Dividends per Share</t>
  </si>
  <si>
    <t>Growth %</t>
  </si>
  <si>
    <t>Other Items</t>
  </si>
  <si>
    <t>Net Leverage</t>
  </si>
  <si>
    <t>Implied Perp G</t>
  </si>
  <si>
    <t>Broker Fee</t>
  </si>
  <si>
    <t>Dividends</t>
  </si>
  <si>
    <t>Total Value ($m)</t>
  </si>
  <si>
    <t>Broker Fee ($m)</t>
  </si>
  <si>
    <t>Shares Purchased (mm)</t>
  </si>
  <si>
    <t>IRR</t>
  </si>
  <si>
    <t>'24E EBITDA Margin</t>
  </si>
  <si>
    <t>'24E GP Margin</t>
  </si>
  <si>
    <t>'27E GP Margin</t>
  </si>
  <si>
    <t>'27E EBITDA Margin</t>
  </si>
  <si>
    <t>Equity Value</t>
  </si>
  <si>
    <t>Exit Value</t>
  </si>
  <si>
    <t>Total Cash Flow - 1 Year</t>
  </si>
  <si>
    <t>Total Cash Flow - 2 Year</t>
  </si>
  <si>
    <t>Entry Price</t>
  </si>
  <si>
    <t>Average Multiple</t>
  </si>
  <si>
    <t>Multiple - 6 month High</t>
  </si>
  <si>
    <t>Multiple - 6 month Low</t>
  </si>
  <si>
    <t>EBITDA (NTM)</t>
  </si>
  <si>
    <t>COGS</t>
  </si>
  <si>
    <t>HXL</t>
  </si>
  <si>
    <t>GP</t>
  </si>
  <si>
    <t>HON</t>
  </si>
  <si>
    <t>Henkel</t>
  </si>
  <si>
    <t>COS</t>
  </si>
  <si>
    <t>Patents</t>
  </si>
  <si>
    <t>EPS</t>
  </si>
  <si>
    <t>Gross profit margin</t>
  </si>
  <si>
    <t>'15-20</t>
  </si>
  <si>
    <t>Active</t>
  </si>
  <si>
    <t>Dead</t>
  </si>
  <si>
    <t>Inactive</t>
  </si>
  <si>
    <t>'11-14</t>
  </si>
  <si>
    <t>'13-19</t>
  </si>
  <si>
    <t>'19-24</t>
  </si>
  <si>
    <t>'14-22</t>
  </si>
  <si>
    <t>DSO decline p/a</t>
  </si>
  <si>
    <t>DIO decline p/a</t>
  </si>
  <si>
    <t>Prepaid decline p/a</t>
  </si>
  <si>
    <t>DPO increase p/a</t>
  </si>
  <si>
    <t>HWM-US</t>
  </si>
  <si>
    <t>Product Segments (M)</t>
  </si>
  <si>
    <t>Estimate</t>
  </si>
  <si>
    <t>Mar '24</t>
  </si>
  <si>
    <t>Jun '24</t>
  </si>
  <si>
    <t>Sep '24</t>
  </si>
  <si>
    <t>Dec '24E</t>
  </si>
  <si>
    <t>Mar '25E</t>
  </si>
  <si>
    <t>Jun '25E</t>
  </si>
  <si>
    <t>Sep '25E</t>
  </si>
  <si>
    <t>Dec '25E</t>
  </si>
  <si>
    <t>Dec '19</t>
  </si>
  <si>
    <t>Dec '20</t>
  </si>
  <si>
    <t>Dec '21</t>
  </si>
  <si>
    <t>Dec '22</t>
  </si>
  <si>
    <t>Dec '23</t>
  </si>
  <si>
    <t>Dec '26E</t>
  </si>
  <si>
    <t xml:space="preserve">Q1  </t>
  </si>
  <si>
    <t xml:space="preserve">Q2  </t>
  </si>
  <si>
    <t xml:space="preserve">Q3  </t>
  </si>
  <si>
    <t xml:space="preserve">Q4  </t>
  </si>
  <si>
    <t>Margin</t>
  </si>
  <si>
    <t>Margin exp.</t>
  </si>
  <si>
    <t>Dec '27E</t>
  </si>
  <si>
    <t>Dec '28E</t>
  </si>
  <si>
    <t>Total Segment Operating Income</t>
  </si>
  <si>
    <t>Imputed Corp Expense</t>
  </si>
  <si>
    <t>Consensus</t>
  </si>
  <si>
    <t>Model</t>
  </si>
  <si>
    <t>Premium / (Discount) to CONS</t>
  </si>
  <si>
    <t>CapEx Growth YoY</t>
  </si>
  <si>
    <t>Natural Gas Combined Cycle and Combustion Turbine</t>
  </si>
  <si>
    <t>EIA Data</t>
  </si>
  <si>
    <t>GE power system sales</t>
  </si>
  <si>
    <t>Unit sales</t>
  </si>
  <si>
    <t>Sales / unit</t>
  </si>
  <si>
    <t>Operating Profit</t>
  </si>
  <si>
    <t>Revenue Mix by End Market</t>
  </si>
  <si>
    <t>% of Revenue Change</t>
  </si>
  <si>
    <t>Avg. '22A-'23E</t>
  </si>
  <si>
    <t>Capture rate</t>
  </si>
  <si>
    <t>Planned</t>
  </si>
  <si>
    <t>Nameplate Power (kW)</t>
  </si>
  <si>
    <t>Year</t>
  </si>
  <si>
    <t>GE Power System Sales</t>
  </si>
  <si>
    <t>Growth</t>
  </si>
  <si>
    <t>'98-'22 CAGR</t>
  </si>
  <si>
    <t>∆</t>
  </si>
  <si>
    <t>'26E</t>
  </si>
  <si>
    <t>'27E</t>
  </si>
  <si>
    <t>Segment EBITDA</t>
  </si>
  <si>
    <t xml:space="preserve">% of Revenue </t>
  </si>
  <si>
    <t>Consensus?</t>
  </si>
  <si>
    <t>Yes</t>
  </si>
  <si>
    <t>Consensus 27E?</t>
  </si>
  <si>
    <t>Total EBITDA by End Market</t>
  </si>
  <si>
    <t>Consensus Est.</t>
  </si>
  <si>
    <t>Total Segment EBITDA Margin</t>
  </si>
  <si>
    <t>No</t>
  </si>
  <si>
    <t>IRR Sensitivities</t>
  </si>
  <si>
    <t>Implied Share Price and IRR Sensitivities - Consensus vs. Model</t>
  </si>
  <si>
    <t>'24E - '30E</t>
  </si>
  <si>
    <t>IRR - 12/31/27 Exit</t>
  </si>
  <si>
    <t>2024E-2027E Sales CAGR</t>
  </si>
  <si>
    <t>Downside</t>
  </si>
  <si>
    <t>Risk / Reward</t>
  </si>
  <si>
    <t>Upside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</si>
</sst>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_(* #,##0.0_);_(* \(#,##0.0\);_(* &quot;-&quot;??_);_(@_)"/>
    <numFmt numFmtId="166" formatCode="0.0\x"/>
    <numFmt numFmtId="167" formatCode="0.0%"/>
    <numFmt numFmtId="168" formatCode="0&quot;A&quot;"/>
    <numFmt numFmtId="169" formatCode="0&quot;E&quot;"/>
    <numFmt numFmtId="170" formatCode="#,##0.0"/>
    <numFmt numFmtId="171" formatCode="&quot;$&quot;#,##0.00"/>
    <numFmt numFmtId="172" formatCode="&quot;$&quot;#,##0.0"/>
    <numFmt numFmtId="173" formatCode="_(&quot;$&quot;* #,##0.0_);_(&quot;$&quot;* \(#,##0.0\);_(&quot;$&quot;* &quot;-&quot;??_);_(@_)"/>
    <numFmt numFmtId="174" formatCode="_(* #,##0.000_);_(* \(#,##0.000\);_(* &quot;-&quot;??_);_(@_)"/>
    <numFmt numFmtId="175" formatCode="_(#,##0_);_(\(#,##0\);_(&quot;-&quot;_);_(@_)"/>
    <numFmt numFmtId="176" formatCode="_(* #,##0_);_(* \(#,##0\);_(* &quot;-&quot;??_);_(@_)"/>
    <numFmt numFmtId="177" formatCode="#,##0.0_);\(#,##0.0\)"/>
    <numFmt numFmtId="178" formatCode="&quot;$&quot;#,##0_);\(#,##0\)"/>
    <numFmt numFmtId="179" formatCode="&quot;$&quot;#,##0.00_);\(#,##0.00\)"/>
    <numFmt numFmtId="180" formatCode="_(&quot;$&quot;* #,##0_);_(&quot;$&quot;* \(#,##0\);_(&quot;$&quot;* &quot;-&quot;??_);_(@_)"/>
    <numFmt numFmtId="184" formatCode="0\ &quot;bps&quot;"/>
  </numFmts>
  <fonts count="3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rial"/>
      <family val="2"/>
    </font>
    <font>
      <sz val="11"/>
      <color theme="1"/>
      <name val="Arial"/>
      <family val="2"/>
    </font>
    <font>
      <sz val="11"/>
      <color rgb="FF0066FF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i/>
      <sz val="11"/>
      <color theme="1"/>
      <name val="Arial"/>
      <family val="2"/>
    </font>
    <font>
      <i/>
      <sz val="11"/>
      <name val="Arial"/>
      <family val="2"/>
    </font>
    <font>
      <b/>
      <i/>
      <sz val="11"/>
      <color theme="1"/>
      <name val="Arial"/>
      <family val="2"/>
    </font>
    <font>
      <b/>
      <i/>
      <sz val="11"/>
      <name val="Arial"/>
      <family val="2"/>
    </font>
    <font>
      <sz val="11"/>
      <color theme="0"/>
      <name val="Arial"/>
      <family val="2"/>
    </font>
    <font>
      <b/>
      <sz val="11"/>
      <color rgb="FF0000FF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0"/>
      <color rgb="FF0000FF"/>
      <name val="Arial"/>
      <family val="2"/>
    </font>
    <font>
      <b/>
      <sz val="10"/>
      <color theme="0"/>
      <name val="Arial"/>
      <family val="2"/>
    </font>
    <font>
      <u/>
      <sz val="10"/>
      <color theme="1"/>
      <name val="Arial"/>
      <family val="2"/>
    </font>
    <font>
      <sz val="11"/>
      <color rgb="FF0000FF"/>
      <name val="Arial"/>
      <family val="2"/>
    </font>
    <font>
      <i/>
      <sz val="11"/>
      <color rgb="FF0000FF"/>
      <name val="Arial"/>
      <family val="2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1"/>
      <color rgb="FF0000FF"/>
      <name val="Aptos Narrow"/>
      <family val="2"/>
      <scheme val="minor"/>
    </font>
    <font>
      <sz val="10"/>
      <color theme="0"/>
      <name val="Arial"/>
      <family val="2"/>
    </font>
    <font>
      <i/>
      <sz val="10"/>
      <color theme="1"/>
      <name val="Arial"/>
      <family val="2"/>
    </font>
    <font>
      <b/>
      <i/>
      <sz val="11"/>
      <color theme="1"/>
      <name val="Aptos Narrow"/>
      <family val="2"/>
      <scheme val="minor"/>
    </font>
    <font>
      <sz val="10"/>
      <color theme="9"/>
      <name val="Arial"/>
      <family val="2"/>
    </font>
    <font>
      <sz val="11"/>
      <color theme="0"/>
      <name val="Aptos Narrow"/>
      <family val="2"/>
      <scheme val="minor"/>
    </font>
    <font>
      <b/>
      <sz val="11"/>
      <color theme="0"/>
      <name val="Aptos Narrow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0F0F0"/>
        <bgColor indexed="64"/>
      </patternFill>
    </fill>
  </fills>
  <borders count="3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1">
    <xf numFmtId="0" fontId="0" fillId="0" borderId="0"/>
    <xf numFmtId="9" fontId="1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16">
    <xf numFmtId="0" fontId="0" fillId="0" borderId="0" xfId="0"/>
    <xf numFmtId="0" fontId="3" fillId="0" borderId="0" xfId="2" applyFont="1"/>
    <xf numFmtId="0" fontId="5" fillId="2" borderId="1" xfId="2" applyFont="1" applyFill="1" applyBorder="1"/>
    <xf numFmtId="0" fontId="3" fillId="2" borderId="1" xfId="2" applyFont="1" applyFill="1" applyBorder="1"/>
    <xf numFmtId="0" fontId="5" fillId="0" borderId="1" xfId="2" applyFont="1" applyBorder="1"/>
    <xf numFmtId="0" fontId="5" fillId="0" borderId="0" xfId="2" applyFont="1"/>
    <xf numFmtId="0" fontId="5" fillId="0" borderId="2" xfId="2" applyFont="1" applyBorder="1"/>
    <xf numFmtId="166" fontId="3" fillId="0" borderId="0" xfId="2" applyNumberFormat="1" applyFont="1"/>
    <xf numFmtId="14" fontId="4" fillId="3" borderId="0" xfId="2" applyNumberFormat="1" applyFont="1" applyFill="1"/>
    <xf numFmtId="9" fontId="6" fillId="0" borderId="0" xfId="2" applyNumberFormat="1" applyFont="1"/>
    <xf numFmtId="9" fontId="4" fillId="3" borderId="0" xfId="2" applyNumberFormat="1" applyFont="1" applyFill="1"/>
    <xf numFmtId="167" fontId="4" fillId="3" borderId="0" xfId="2" applyNumberFormat="1" applyFont="1" applyFill="1"/>
    <xf numFmtId="168" fontId="5" fillId="2" borderId="4" xfId="2" applyNumberFormat="1" applyFont="1" applyFill="1" applyBorder="1" applyAlignment="1">
      <alignment horizontal="right"/>
    </xf>
    <xf numFmtId="169" fontId="5" fillId="2" borderId="1" xfId="2" applyNumberFormat="1" applyFont="1" applyFill="1" applyBorder="1" applyAlignment="1">
      <alignment horizontal="right"/>
    </xf>
    <xf numFmtId="169" fontId="5" fillId="2" borderId="4" xfId="2" applyNumberFormat="1" applyFont="1" applyFill="1" applyBorder="1" applyAlignment="1">
      <alignment horizontal="right"/>
    </xf>
    <xf numFmtId="0" fontId="5" fillId="2" borderId="5" xfId="2" applyFont="1" applyFill="1" applyBorder="1" applyAlignment="1">
      <alignment horizontal="right" wrapText="1"/>
    </xf>
    <xf numFmtId="0" fontId="3" fillId="0" borderId="6" xfId="2" applyFont="1" applyBorder="1"/>
    <xf numFmtId="0" fontId="3" fillId="0" borderId="7" xfId="2" applyFont="1" applyBorder="1"/>
    <xf numFmtId="165" fontId="3" fillId="0" borderId="6" xfId="5" applyNumberFormat="1" applyFont="1" applyBorder="1" applyAlignment="1">
      <alignment horizontal="right"/>
    </xf>
    <xf numFmtId="165" fontId="3" fillId="0" borderId="0" xfId="5" applyNumberFormat="1" applyFont="1" applyAlignment="1">
      <alignment horizontal="right"/>
    </xf>
    <xf numFmtId="165" fontId="3" fillId="0" borderId="7" xfId="5" applyNumberFormat="1" applyFont="1" applyBorder="1" applyAlignment="1">
      <alignment horizontal="right"/>
    </xf>
    <xf numFmtId="9" fontId="11" fillId="0" borderId="6" xfId="4" applyFont="1" applyBorder="1" applyAlignment="1">
      <alignment horizontal="right"/>
    </xf>
    <xf numFmtId="9" fontId="11" fillId="0" borderId="0" xfId="4" applyFont="1" applyAlignment="1">
      <alignment horizontal="right"/>
    </xf>
    <xf numFmtId="9" fontId="12" fillId="0" borderId="0" xfId="4" applyFont="1" applyAlignment="1">
      <alignment horizontal="right"/>
    </xf>
    <xf numFmtId="9" fontId="12" fillId="0" borderId="0" xfId="2" applyNumberFormat="1" applyFont="1" applyAlignment="1">
      <alignment horizontal="right"/>
    </xf>
    <xf numFmtId="9" fontId="12" fillId="0" borderId="6" xfId="2" applyNumberFormat="1" applyFont="1" applyBorder="1" applyAlignment="1">
      <alignment horizontal="right"/>
    </xf>
    <xf numFmtId="9" fontId="12" fillId="0" borderId="7" xfId="2" applyNumberFormat="1" applyFont="1" applyBorder="1" applyAlignment="1">
      <alignment horizontal="right"/>
    </xf>
    <xf numFmtId="0" fontId="3" fillId="0" borderId="6" xfId="2" applyFont="1" applyBorder="1" applyAlignment="1">
      <alignment horizontal="right"/>
    </xf>
    <xf numFmtId="0" fontId="3" fillId="0" borderId="0" xfId="2" applyFont="1" applyAlignment="1">
      <alignment horizontal="right"/>
    </xf>
    <xf numFmtId="0" fontId="3" fillId="0" borderId="7" xfId="2" applyFont="1" applyBorder="1" applyAlignment="1">
      <alignment horizontal="right"/>
    </xf>
    <xf numFmtId="9" fontId="11" fillId="0" borderId="7" xfId="4" applyFont="1" applyBorder="1" applyAlignment="1">
      <alignment horizontal="right"/>
    </xf>
    <xf numFmtId="165" fontId="6" fillId="0" borderId="6" xfId="5" applyNumberFormat="1" applyFont="1" applyFill="1" applyBorder="1" applyAlignment="1">
      <alignment horizontal="right"/>
    </xf>
    <xf numFmtId="165" fontId="6" fillId="0" borderId="0" xfId="5" applyNumberFormat="1" applyFont="1" applyFill="1" applyAlignment="1">
      <alignment horizontal="right"/>
    </xf>
    <xf numFmtId="165" fontId="6" fillId="0" borderId="7" xfId="5" applyNumberFormat="1" applyFont="1" applyFill="1" applyBorder="1" applyAlignment="1">
      <alignment horizontal="right"/>
    </xf>
    <xf numFmtId="0" fontId="6" fillId="0" borderId="0" xfId="2" applyFont="1"/>
    <xf numFmtId="165" fontId="8" fillId="0" borderId="4" xfId="5" applyNumberFormat="1" applyFont="1" applyFill="1" applyBorder="1" applyAlignment="1">
      <alignment horizontal="right"/>
    </xf>
    <xf numFmtId="165" fontId="8" fillId="0" borderId="1" xfId="5" applyNumberFormat="1" applyFont="1" applyFill="1" applyBorder="1" applyAlignment="1">
      <alignment horizontal="right"/>
    </xf>
    <xf numFmtId="165" fontId="8" fillId="0" borderId="5" xfId="5" applyNumberFormat="1" applyFont="1" applyFill="1" applyBorder="1" applyAlignment="1">
      <alignment horizontal="right"/>
    </xf>
    <xf numFmtId="165" fontId="8" fillId="0" borderId="6" xfId="5" applyNumberFormat="1" applyFont="1" applyFill="1" applyBorder="1" applyAlignment="1">
      <alignment horizontal="right"/>
    </xf>
    <xf numFmtId="165" fontId="8" fillId="0" borderId="0" xfId="5" applyNumberFormat="1" applyFont="1" applyFill="1" applyBorder="1" applyAlignment="1">
      <alignment horizontal="right"/>
    </xf>
    <xf numFmtId="165" fontId="8" fillId="0" borderId="7" xfId="5" applyNumberFormat="1" applyFont="1" applyFill="1" applyBorder="1" applyAlignment="1">
      <alignment horizontal="right"/>
    </xf>
    <xf numFmtId="0" fontId="13" fillId="0" borderId="0" xfId="2" applyFont="1"/>
    <xf numFmtId="0" fontId="13" fillId="0" borderId="6" xfId="2" applyFont="1" applyBorder="1" applyAlignment="1">
      <alignment horizontal="right"/>
    </xf>
    <xf numFmtId="43" fontId="13" fillId="0" borderId="0" xfId="5" applyFont="1" applyAlignment="1">
      <alignment horizontal="right"/>
    </xf>
    <xf numFmtId="43" fontId="13" fillId="0" borderId="6" xfId="5" applyFont="1" applyBorder="1" applyAlignment="1">
      <alignment horizontal="right"/>
    </xf>
    <xf numFmtId="43" fontId="13" fillId="0" borderId="7" xfId="5" applyFont="1" applyBorder="1" applyAlignment="1">
      <alignment horizontal="right"/>
    </xf>
    <xf numFmtId="164" fontId="13" fillId="0" borderId="6" xfId="2" applyNumberFormat="1" applyFont="1" applyBorder="1" applyAlignment="1">
      <alignment horizontal="right"/>
    </xf>
    <xf numFmtId="0" fontId="11" fillId="0" borderId="0" xfId="2" applyFont="1"/>
    <xf numFmtId="170" fontId="3" fillId="0" borderId="6" xfId="2" applyNumberFormat="1" applyFont="1" applyBorder="1" applyAlignment="1">
      <alignment horizontal="right"/>
    </xf>
    <xf numFmtId="165" fontId="11" fillId="0" borderId="0" xfId="5" applyNumberFormat="1" applyFont="1" applyAlignment="1">
      <alignment horizontal="right"/>
    </xf>
    <xf numFmtId="165" fontId="11" fillId="0" borderId="6" xfId="5" applyNumberFormat="1" applyFont="1" applyBorder="1" applyAlignment="1">
      <alignment horizontal="right"/>
    </xf>
    <xf numFmtId="167" fontId="6" fillId="0" borderId="0" xfId="2" applyNumberFormat="1" applyFont="1"/>
    <xf numFmtId="167" fontId="3" fillId="0" borderId="0" xfId="2" applyNumberFormat="1" applyFont="1"/>
    <xf numFmtId="170" fontId="3" fillId="0" borderId="0" xfId="2" applyNumberFormat="1" applyFont="1"/>
    <xf numFmtId="170" fontId="5" fillId="0" borderId="3" xfId="2" applyNumberFormat="1" applyFont="1" applyBorder="1"/>
    <xf numFmtId="0" fontId="5" fillId="2" borderId="8" xfId="2" applyFont="1" applyFill="1" applyBorder="1"/>
    <xf numFmtId="170" fontId="5" fillId="2" borderId="9" xfId="2" applyNumberFormat="1" applyFont="1" applyFill="1" applyBorder="1"/>
    <xf numFmtId="171" fontId="5" fillId="2" borderId="9" xfId="2" applyNumberFormat="1" applyFont="1" applyFill="1" applyBorder="1"/>
    <xf numFmtId="172" fontId="5" fillId="0" borderId="0" xfId="2" applyNumberFormat="1" applyFont="1"/>
    <xf numFmtId="173" fontId="3" fillId="0" borderId="0" xfId="6" applyNumberFormat="1" applyFont="1"/>
    <xf numFmtId="0" fontId="13" fillId="0" borderId="8" xfId="2" applyFont="1" applyBorder="1"/>
    <xf numFmtId="0" fontId="13" fillId="0" borderId="1" xfId="2" applyFont="1" applyBorder="1"/>
    <xf numFmtId="10" fontId="13" fillId="0" borderId="9" xfId="4" applyNumberFormat="1" applyFont="1" applyBorder="1" applyAlignment="1">
      <alignment vertical="center"/>
    </xf>
    <xf numFmtId="165" fontId="3" fillId="0" borderId="0" xfId="2" applyNumberFormat="1" applyFont="1"/>
    <xf numFmtId="0" fontId="14" fillId="0" borderId="0" xfId="2" applyFont="1"/>
    <xf numFmtId="0" fontId="6" fillId="2" borderId="10" xfId="2" applyFont="1" applyFill="1" applyBorder="1"/>
    <xf numFmtId="0" fontId="6" fillId="2" borderId="3" xfId="2" applyFont="1" applyFill="1" applyBorder="1"/>
    <xf numFmtId="0" fontId="8" fillId="2" borderId="1" xfId="2" applyFont="1" applyFill="1" applyBorder="1" applyAlignment="1">
      <alignment horizontal="centerContinuous"/>
    </xf>
    <xf numFmtId="0" fontId="6" fillId="2" borderId="11" xfId="2" applyFont="1" applyFill="1" applyBorder="1"/>
    <xf numFmtId="172" fontId="15" fillId="0" borderId="10" xfId="2" applyNumberFormat="1" applyFont="1" applyBorder="1"/>
    <xf numFmtId="10" fontId="3" fillId="0" borderId="0" xfId="4" applyNumberFormat="1" applyFont="1"/>
    <xf numFmtId="0" fontId="8" fillId="2" borderId="11" xfId="2" applyFont="1" applyFill="1" applyBorder="1" applyAlignment="1">
      <alignment horizontal="centerContinuous"/>
    </xf>
    <xf numFmtId="171" fontId="6" fillId="0" borderId="0" xfId="5" applyNumberFormat="1" applyFont="1"/>
    <xf numFmtId="4" fontId="6" fillId="0" borderId="0" xfId="5" applyNumberFormat="1" applyFont="1"/>
    <xf numFmtId="0" fontId="6" fillId="2" borderId="11" xfId="2" applyFont="1" applyFill="1" applyBorder="1" applyAlignment="1">
      <alignment horizontal="centerContinuous"/>
    </xf>
    <xf numFmtId="172" fontId="6" fillId="0" borderId="10" xfId="2" applyNumberFormat="1" applyFont="1" applyBorder="1"/>
    <xf numFmtId="167" fontId="6" fillId="0" borderId="0" xfId="4" applyNumberFormat="1" applyFont="1"/>
    <xf numFmtId="10" fontId="8" fillId="0" borderId="1" xfId="4" applyNumberFormat="1" applyFont="1" applyBorder="1"/>
    <xf numFmtId="10" fontId="16" fillId="0" borderId="1" xfId="2" applyNumberFormat="1" applyFont="1" applyBorder="1"/>
    <xf numFmtId="10" fontId="8" fillId="0" borderId="12" xfId="4" applyNumberFormat="1" applyFont="1" applyBorder="1"/>
    <xf numFmtId="0" fontId="17" fillId="0" borderId="0" xfId="2" applyFont="1"/>
    <xf numFmtId="0" fontId="7" fillId="0" borderId="0" xfId="2" applyFont="1"/>
    <xf numFmtId="0" fontId="18" fillId="2" borderId="0" xfId="2" applyFont="1" applyFill="1"/>
    <xf numFmtId="0" fontId="19" fillId="2" borderId="0" xfId="2" applyFont="1" applyFill="1" applyAlignment="1">
      <alignment horizontal="centerContinuous" wrapText="1"/>
    </xf>
    <xf numFmtId="0" fontId="18" fillId="2" borderId="0" xfId="2" applyFont="1" applyFill="1" applyAlignment="1">
      <alignment horizontal="centerContinuous" wrapText="1"/>
    </xf>
    <xf numFmtId="0" fontId="18" fillId="2" borderId="13" xfId="2" applyFont="1" applyFill="1" applyBorder="1"/>
    <xf numFmtId="0" fontId="19" fillId="2" borderId="14" xfId="2" applyFont="1" applyFill="1" applyBorder="1" applyAlignment="1">
      <alignment horizontal="center"/>
    </xf>
    <xf numFmtId="0" fontId="19" fillId="0" borderId="0" xfId="2" applyFont="1"/>
    <xf numFmtId="0" fontId="18" fillId="0" borderId="0" xfId="2" applyFont="1"/>
    <xf numFmtId="10" fontId="18" fillId="0" borderId="0" xfId="2" applyNumberFormat="1" applyFont="1"/>
    <xf numFmtId="174" fontId="18" fillId="0" borderId="0" xfId="5" applyNumberFormat="1" applyFont="1"/>
    <xf numFmtId="0" fontId="20" fillId="0" borderId="0" xfId="2" applyFont="1"/>
    <xf numFmtId="0" fontId="18" fillId="0" borderId="0" xfId="2" applyFont="1" applyAlignment="1">
      <alignment horizontal="left" indent="2"/>
    </xf>
    <xf numFmtId="10" fontId="18" fillId="0" borderId="15" xfId="2" applyNumberFormat="1" applyFont="1" applyBorder="1"/>
    <xf numFmtId="10" fontId="19" fillId="0" borderId="15" xfId="2" applyNumberFormat="1" applyFont="1" applyBorder="1"/>
    <xf numFmtId="0" fontId="7" fillId="4" borderId="0" xfId="2" applyFont="1" applyFill="1"/>
    <xf numFmtId="0" fontId="17" fillId="4" borderId="0" xfId="2" quotePrefix="1" applyFont="1" applyFill="1" applyAlignment="1">
      <alignment horizontal="right"/>
    </xf>
    <xf numFmtId="10" fontId="19" fillId="0" borderId="0" xfId="2" applyNumberFormat="1" applyFont="1"/>
    <xf numFmtId="0" fontId="17" fillId="0" borderId="16" xfId="2" applyFont="1" applyBorder="1"/>
    <xf numFmtId="0" fontId="17" fillId="0" borderId="17" xfId="2" applyFont="1" applyBorder="1"/>
    <xf numFmtId="10" fontId="17" fillId="0" borderId="18" xfId="7" applyNumberFormat="1" applyFont="1" applyBorder="1"/>
    <xf numFmtId="0" fontId="19" fillId="2" borderId="8" xfId="2" applyFont="1" applyFill="1" applyBorder="1"/>
    <xf numFmtId="0" fontId="19" fillId="2" borderId="1" xfId="2" applyFont="1" applyFill="1" applyBorder="1"/>
    <xf numFmtId="10" fontId="19" fillId="2" borderId="1" xfId="2" applyNumberFormat="1" applyFont="1" applyFill="1" applyBorder="1"/>
    <xf numFmtId="10" fontId="19" fillId="2" borderId="9" xfId="2" applyNumberFormat="1" applyFont="1" applyFill="1" applyBorder="1"/>
    <xf numFmtId="10" fontId="7" fillId="0" borderId="0" xfId="2" applyNumberFormat="1" applyFont="1"/>
    <xf numFmtId="10" fontId="17" fillId="0" borderId="0" xfId="2" applyNumberFormat="1" applyFont="1"/>
    <xf numFmtId="0" fontId="17" fillId="0" borderId="2" xfId="2" applyFont="1" applyBorder="1"/>
    <xf numFmtId="9" fontId="7" fillId="0" borderId="0" xfId="4" applyFont="1"/>
    <xf numFmtId="0" fontId="7" fillId="0" borderId="8" xfId="2" applyFont="1" applyBorder="1"/>
    <xf numFmtId="0" fontId="7" fillId="0" borderId="1" xfId="2" applyFont="1" applyBorder="1"/>
    <xf numFmtId="9" fontId="21" fillId="0" borderId="9" xfId="2" applyNumberFormat="1" applyFont="1" applyBorder="1"/>
    <xf numFmtId="0" fontId="7" fillId="2" borderId="0" xfId="2" applyFont="1" applyFill="1"/>
    <xf numFmtId="0" fontId="7" fillId="2" borderId="0" xfId="2" applyFont="1" applyFill="1" applyAlignment="1">
      <alignment horizontal="center"/>
    </xf>
    <xf numFmtId="0" fontId="17" fillId="2" borderId="0" xfId="2" applyFont="1" applyFill="1" applyAlignment="1">
      <alignment horizontal="center"/>
    </xf>
    <xf numFmtId="0" fontId="7" fillId="0" borderId="16" xfId="2" applyFont="1" applyBorder="1"/>
    <xf numFmtId="0" fontId="7" fillId="0" borderId="17" xfId="2" applyFont="1" applyBorder="1"/>
    <xf numFmtId="174" fontId="7" fillId="0" borderId="17" xfId="5" applyNumberFormat="1" applyFont="1" applyFill="1" applyBorder="1"/>
    <xf numFmtId="165" fontId="7" fillId="0" borderId="17" xfId="5" applyNumberFormat="1" applyFont="1" applyBorder="1"/>
    <xf numFmtId="9" fontId="7" fillId="0" borderId="17" xfId="4" applyFont="1" applyBorder="1"/>
    <xf numFmtId="174" fontId="7" fillId="0" borderId="18" xfId="5" applyNumberFormat="1" applyFont="1" applyBorder="1"/>
    <xf numFmtId="167" fontId="7" fillId="0" borderId="0" xfId="4" applyNumberFormat="1" applyFont="1"/>
    <xf numFmtId="174" fontId="7" fillId="0" borderId="0" xfId="5" applyNumberFormat="1" applyFont="1"/>
    <xf numFmtId="165" fontId="7" fillId="0" borderId="0" xfId="5" applyNumberFormat="1" applyFont="1"/>
    <xf numFmtId="174" fontId="7" fillId="0" borderId="0" xfId="5" applyNumberFormat="1" applyFont="1" applyFill="1"/>
    <xf numFmtId="0" fontId="17" fillId="0" borderId="19" xfId="2" applyFont="1" applyBorder="1"/>
    <xf numFmtId="0" fontId="17" fillId="0" borderId="15" xfId="2" applyFont="1" applyBorder="1"/>
    <xf numFmtId="174" fontId="17" fillId="0" borderId="15" xfId="5" applyNumberFormat="1" applyFont="1" applyBorder="1"/>
    <xf numFmtId="165" fontId="17" fillId="0" borderId="15" xfId="5" applyNumberFormat="1" applyFont="1" applyBorder="1"/>
    <xf numFmtId="9" fontId="17" fillId="0" borderId="15" xfId="4" applyFont="1" applyBorder="1"/>
    <xf numFmtId="0" fontId="17" fillId="0" borderId="20" xfId="2" applyFont="1" applyBorder="1"/>
    <xf numFmtId="0" fontId="17" fillId="0" borderId="13" xfId="2" applyFont="1" applyBorder="1"/>
    <xf numFmtId="174" fontId="17" fillId="0" borderId="13" xfId="5" applyNumberFormat="1" applyFont="1" applyBorder="1"/>
    <xf numFmtId="165" fontId="17" fillId="0" borderId="13" xfId="5" applyNumberFormat="1" applyFont="1" applyBorder="1"/>
    <xf numFmtId="9" fontId="17" fillId="0" borderId="13" xfId="4" applyFont="1" applyBorder="1"/>
    <xf numFmtId="174" fontId="17" fillId="0" borderId="21" xfId="5" applyNumberFormat="1" applyFont="1" applyBorder="1"/>
    <xf numFmtId="0" fontId="7" fillId="2" borderId="10" xfId="2" applyFont="1" applyFill="1" applyBorder="1"/>
    <xf numFmtId="0" fontId="7" fillId="2" borderId="3" xfId="2" applyFont="1" applyFill="1" applyBorder="1"/>
    <xf numFmtId="174" fontId="7" fillId="2" borderId="3" xfId="5" applyNumberFormat="1" applyFont="1" applyFill="1" applyBorder="1"/>
    <xf numFmtId="165" fontId="7" fillId="2" borderId="3" xfId="5" applyNumberFormat="1" applyFont="1" applyFill="1" applyBorder="1"/>
    <xf numFmtId="0" fontId="23" fillId="2" borderId="22" xfId="2" applyFont="1" applyFill="1" applyBorder="1" applyAlignment="1">
      <alignment horizontal="center"/>
    </xf>
    <xf numFmtId="0" fontId="7" fillId="2" borderId="11" xfId="2" applyFont="1" applyFill="1" applyBorder="1"/>
    <xf numFmtId="174" fontId="7" fillId="2" borderId="0" xfId="5" applyNumberFormat="1" applyFont="1" applyFill="1" applyBorder="1"/>
    <xf numFmtId="165" fontId="7" fillId="2" borderId="0" xfId="5" applyNumberFormat="1" applyFont="1" applyFill="1" applyBorder="1"/>
    <xf numFmtId="174" fontId="7" fillId="2" borderId="23" xfId="2" applyNumberFormat="1" applyFont="1" applyFill="1" applyBorder="1"/>
    <xf numFmtId="9" fontId="7" fillId="2" borderId="23" xfId="2" applyNumberFormat="1" applyFont="1" applyFill="1" applyBorder="1"/>
    <xf numFmtId="0" fontId="7" fillId="2" borderId="24" xfId="2" applyFont="1" applyFill="1" applyBorder="1"/>
    <xf numFmtId="0" fontId="7" fillId="2" borderId="2" xfId="2" applyFont="1" applyFill="1" applyBorder="1"/>
    <xf numFmtId="174" fontId="7" fillId="2" borderId="2" xfId="5" applyNumberFormat="1" applyFont="1" applyFill="1" applyBorder="1"/>
    <xf numFmtId="165" fontId="7" fillId="2" borderId="2" xfId="5" applyNumberFormat="1" applyFont="1" applyFill="1" applyBorder="1"/>
    <xf numFmtId="43" fontId="7" fillId="2" borderId="25" xfId="2" applyNumberFormat="1" applyFont="1" applyFill="1" applyBorder="1"/>
    <xf numFmtId="174" fontId="17" fillId="0" borderId="26" xfId="5" applyNumberFormat="1" applyFont="1" applyBorder="1"/>
    <xf numFmtId="174" fontId="7" fillId="0" borderId="0" xfId="5" applyNumberFormat="1" applyFont="1" applyFill="1" applyBorder="1"/>
    <xf numFmtId="165" fontId="7" fillId="0" borderId="0" xfId="5" applyNumberFormat="1" applyFont="1" applyFill="1" applyBorder="1"/>
    <xf numFmtId="43" fontId="7" fillId="0" borderId="0" xfId="2" applyNumberFormat="1" applyFont="1"/>
    <xf numFmtId="174" fontId="7" fillId="2" borderId="25" xfId="2" applyNumberFormat="1" applyFont="1" applyFill="1" applyBorder="1"/>
    <xf numFmtId="0" fontId="3" fillId="0" borderId="0" xfId="0" applyFont="1"/>
    <xf numFmtId="0" fontId="3" fillId="0" borderId="0" xfId="0" applyFont="1" applyAlignment="1">
      <alignment horizontal="left" indent="1"/>
    </xf>
    <xf numFmtId="9" fontId="3" fillId="0" borderId="0" xfId="1" applyFont="1"/>
    <xf numFmtId="0" fontId="3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3" xfId="0" applyFont="1" applyBorder="1" applyAlignment="1">
      <alignment horizontal="left" indent="1"/>
    </xf>
    <xf numFmtId="0" fontId="5" fillId="0" borderId="3" xfId="0" applyFont="1" applyBorder="1" applyAlignment="1">
      <alignment horizontal="left"/>
    </xf>
    <xf numFmtId="0" fontId="5" fillId="0" borderId="3" xfId="0" applyFont="1" applyBorder="1"/>
    <xf numFmtId="0" fontId="8" fillId="0" borderId="3" xfId="0" applyFont="1" applyBorder="1" applyAlignment="1">
      <alignment horizontal="left"/>
    </xf>
    <xf numFmtId="0" fontId="5" fillId="0" borderId="3" xfId="0" applyFont="1" applyBorder="1" applyAlignment="1">
      <alignment horizontal="left" indent="1"/>
    </xf>
    <xf numFmtId="0" fontId="3" fillId="0" borderId="2" xfId="0" applyFont="1" applyBorder="1"/>
    <xf numFmtId="0" fontId="11" fillId="0" borderId="0" xfId="0" applyFont="1" applyAlignment="1">
      <alignment horizontal="left" indent="2"/>
    </xf>
    <xf numFmtId="37" fontId="3" fillId="0" borderId="0" xfId="0" applyNumberFormat="1" applyFont="1"/>
    <xf numFmtId="37" fontId="5" fillId="0" borderId="3" xfId="0" applyNumberFormat="1" applyFont="1" applyBorder="1"/>
    <xf numFmtId="37" fontId="5" fillId="0" borderId="0" xfId="0" applyNumberFormat="1" applyFont="1"/>
    <xf numFmtId="37" fontId="3" fillId="0" borderId="0" xfId="1" applyNumberFormat="1" applyFont="1"/>
    <xf numFmtId="37" fontId="3" fillId="0" borderId="2" xfId="0" applyNumberFormat="1" applyFont="1" applyBorder="1"/>
    <xf numFmtId="37" fontId="3" fillId="0" borderId="3" xfId="0" applyNumberFormat="1" applyFont="1" applyBorder="1"/>
    <xf numFmtId="37" fontId="24" fillId="0" borderId="0" xfId="0" applyNumberFormat="1" applyFont="1"/>
    <xf numFmtId="37" fontId="6" fillId="0" borderId="0" xfId="0" applyNumberFormat="1" applyFont="1"/>
    <xf numFmtId="37" fontId="8" fillId="0" borderId="3" xfId="0" applyNumberFormat="1" applyFont="1" applyBorder="1"/>
    <xf numFmtId="37" fontId="8" fillId="0" borderId="0" xfId="0" applyNumberFormat="1" applyFont="1"/>
    <xf numFmtId="0" fontId="6" fillId="0" borderId="0" xfId="0" applyFont="1" applyAlignment="1">
      <alignment horizontal="left"/>
    </xf>
    <xf numFmtId="9" fontId="11" fillId="0" borderId="0" xfId="1" applyFont="1"/>
    <xf numFmtId="9" fontId="24" fillId="3" borderId="0" xfId="0" applyNumberFormat="1" applyFont="1" applyFill="1"/>
    <xf numFmtId="176" fontId="3" fillId="0" borderId="0" xfId="9" applyNumberFormat="1" applyFont="1"/>
    <xf numFmtId="37" fontId="24" fillId="3" borderId="0" xfId="0" applyNumberFormat="1" applyFont="1" applyFill="1"/>
    <xf numFmtId="9" fontId="12" fillId="0" borderId="0" xfId="1" applyFont="1"/>
    <xf numFmtId="0" fontId="11" fillId="0" borderId="0" xfId="0" applyFont="1" applyAlignment="1">
      <alignment horizontal="left" indent="1"/>
    </xf>
    <xf numFmtId="44" fontId="3" fillId="0" borderId="0" xfId="10" applyFont="1"/>
    <xf numFmtId="0" fontId="24" fillId="0" borderId="0" xfId="0" applyFont="1"/>
    <xf numFmtId="0" fontId="5" fillId="0" borderId="2" xfId="0" applyFont="1" applyBorder="1"/>
    <xf numFmtId="176" fontId="3" fillId="0" borderId="0" xfId="0" applyNumberFormat="1" applyFont="1"/>
    <xf numFmtId="176" fontId="3" fillId="0" borderId="3" xfId="0" applyNumberFormat="1" applyFont="1" applyBorder="1"/>
    <xf numFmtId="176" fontId="3" fillId="0" borderId="0" xfId="5" applyNumberFormat="1" applyFont="1"/>
    <xf numFmtId="0" fontId="22" fillId="5" borderId="0" xfId="2" applyFont="1" applyFill="1"/>
    <xf numFmtId="174" fontId="22" fillId="5" borderId="0" xfId="5" applyNumberFormat="1" applyFont="1" applyFill="1"/>
    <xf numFmtId="165" fontId="22" fillId="5" borderId="0" xfId="5" applyNumberFormat="1" applyFont="1" applyFill="1"/>
    <xf numFmtId="0" fontId="18" fillId="5" borderId="0" xfId="2" applyFont="1" applyFill="1"/>
    <xf numFmtId="0" fontId="2" fillId="5" borderId="0" xfId="2" applyFont="1" applyFill="1"/>
    <xf numFmtId="9" fontId="3" fillId="0" borderId="0" xfId="0" applyNumberFormat="1" applyFont="1"/>
    <xf numFmtId="43" fontId="3" fillId="0" borderId="0" xfId="9" applyFont="1"/>
    <xf numFmtId="170" fontId="3" fillId="0" borderId="0" xfId="0" applyNumberFormat="1" applyFont="1" applyAlignment="1">
      <alignment horizontal="right"/>
    </xf>
    <xf numFmtId="170" fontId="3" fillId="2" borderId="0" xfId="0" applyNumberFormat="1" applyFont="1" applyFill="1" applyAlignment="1">
      <alignment horizontal="right"/>
    </xf>
    <xf numFmtId="0" fontId="5" fillId="2" borderId="0" xfId="0" applyFont="1" applyFill="1"/>
    <xf numFmtId="170" fontId="5" fillId="0" borderId="3" xfId="0" applyNumberFormat="1" applyFont="1" applyBorder="1" applyAlignment="1">
      <alignment horizontal="right"/>
    </xf>
    <xf numFmtId="0" fontId="5" fillId="0" borderId="0" xfId="0" applyFont="1"/>
    <xf numFmtId="170" fontId="5" fillId="0" borderId="0" xfId="0" applyNumberFormat="1" applyFont="1" applyAlignment="1">
      <alignment horizontal="right"/>
    </xf>
    <xf numFmtId="177" fontId="11" fillId="0" borderId="0" xfId="0" applyNumberFormat="1" applyFont="1"/>
    <xf numFmtId="176" fontId="5" fillId="0" borderId="3" xfId="0" applyNumberFormat="1" applyFont="1" applyBorder="1"/>
    <xf numFmtId="0" fontId="15" fillId="5" borderId="0" xfId="0" applyFont="1" applyFill="1"/>
    <xf numFmtId="0" fontId="2" fillId="5" borderId="0" xfId="0" applyFont="1" applyFill="1"/>
    <xf numFmtId="0" fontId="3" fillId="2" borderId="0" xfId="0" applyFont="1" applyFill="1"/>
    <xf numFmtId="176" fontId="5" fillId="0" borderId="0" xfId="0" applyNumberFormat="1" applyFont="1"/>
    <xf numFmtId="170" fontId="5" fillId="0" borderId="3" xfId="0" applyNumberFormat="1" applyFont="1" applyBorder="1"/>
    <xf numFmtId="37" fontId="3" fillId="2" borderId="0" xfId="0" applyNumberFormat="1" applyFont="1" applyFill="1"/>
    <xf numFmtId="175" fontId="6" fillId="0" borderId="0" xfId="0" applyNumberFormat="1" applyFont="1" applyAlignment="1">
      <alignment horizontal="left"/>
    </xf>
    <xf numFmtId="175" fontId="6" fillId="0" borderId="0" xfId="0" applyNumberFormat="1" applyFont="1"/>
    <xf numFmtId="0" fontId="11" fillId="0" borderId="0" xfId="0" applyFont="1"/>
    <xf numFmtId="0" fontId="24" fillId="3" borderId="0" xfId="0" applyFont="1" applyFill="1"/>
    <xf numFmtId="170" fontId="24" fillId="3" borderId="0" xfId="0" applyNumberFormat="1" applyFont="1" applyFill="1"/>
    <xf numFmtId="175" fontId="24" fillId="3" borderId="0" xfId="0" applyNumberFormat="1" applyFont="1" applyFill="1"/>
    <xf numFmtId="176" fontId="24" fillId="3" borderId="0" xfId="0" applyNumberFormat="1" applyFont="1" applyFill="1"/>
    <xf numFmtId="43" fontId="3" fillId="0" borderId="0" xfId="0" applyNumberFormat="1" applyFont="1"/>
    <xf numFmtId="10" fontId="24" fillId="0" borderId="0" xfId="0" applyNumberFormat="1" applyFont="1"/>
    <xf numFmtId="176" fontId="24" fillId="0" borderId="0" xfId="9" applyNumberFormat="1" applyFont="1"/>
    <xf numFmtId="176" fontId="3" fillId="2" borderId="0" xfId="9" applyNumberFormat="1" applyFont="1" applyFill="1"/>
    <xf numFmtId="9" fontId="0" fillId="0" borderId="0" xfId="0" applyNumberFormat="1"/>
    <xf numFmtId="43" fontId="0" fillId="0" borderId="0" xfId="9" applyFont="1"/>
    <xf numFmtId="176" fontId="0" fillId="0" borderId="0" xfId="9" applyNumberFormat="1" applyFont="1"/>
    <xf numFmtId="176" fontId="0" fillId="0" borderId="0" xfId="0" applyNumberFormat="1"/>
    <xf numFmtId="9" fontId="0" fillId="0" borderId="0" xfId="1" applyFont="1"/>
    <xf numFmtId="43" fontId="0" fillId="0" borderId="0" xfId="0" applyNumberFormat="1"/>
    <xf numFmtId="37" fontId="0" fillId="0" borderId="0" xfId="0" applyNumberFormat="1"/>
    <xf numFmtId="3" fontId="0" fillId="0" borderId="0" xfId="0" applyNumberFormat="1"/>
    <xf numFmtId="0" fontId="3" fillId="0" borderId="0" xfId="0" applyFont="1" applyAlignment="1">
      <alignment horizontal="right"/>
    </xf>
    <xf numFmtId="176" fontId="3" fillId="0" borderId="3" xfId="9" applyNumberFormat="1" applyFont="1" applyBorder="1"/>
    <xf numFmtId="3" fontId="24" fillId="0" borderId="0" xfId="0" applyNumberFormat="1" applyFont="1"/>
    <xf numFmtId="166" fontId="3" fillId="0" borderId="0" xfId="1" applyNumberFormat="1" applyFont="1"/>
    <xf numFmtId="9" fontId="24" fillId="0" borderId="0" xfId="0" applyNumberFormat="1" applyFont="1"/>
    <xf numFmtId="0" fontId="2" fillId="5" borderId="0" xfId="0" applyFont="1" applyFill="1" applyAlignment="1">
      <alignment horizontal="right"/>
    </xf>
    <xf numFmtId="0" fontId="8" fillId="6" borderId="0" xfId="0" applyFont="1" applyFill="1" applyAlignment="1">
      <alignment horizontal="right"/>
    </xf>
    <xf numFmtId="170" fontId="16" fillId="0" borderId="3" xfId="0" applyNumberFormat="1" applyFont="1" applyBorder="1" applyAlignment="1">
      <alignment horizontal="right"/>
    </xf>
    <xf numFmtId="170" fontId="16" fillId="3" borderId="3" xfId="0" applyNumberFormat="1" applyFont="1" applyFill="1" applyBorder="1" applyAlignment="1">
      <alignment horizontal="right"/>
    </xf>
    <xf numFmtId="176" fontId="5" fillId="0" borderId="3" xfId="9" applyNumberFormat="1" applyFont="1" applyBorder="1"/>
    <xf numFmtId="44" fontId="5" fillId="0" borderId="3" xfId="10" applyFont="1" applyBorder="1"/>
    <xf numFmtId="3" fontId="24" fillId="3" borderId="0" xfId="0" applyNumberFormat="1" applyFont="1" applyFill="1"/>
    <xf numFmtId="3" fontId="3" fillId="0" borderId="0" xfId="0" applyNumberFormat="1" applyFont="1"/>
    <xf numFmtId="176" fontId="6" fillId="0" borderId="0" xfId="9" applyNumberFormat="1" applyFont="1"/>
    <xf numFmtId="176" fontId="3" fillId="0" borderId="0" xfId="9" applyNumberFormat="1" applyFont="1" applyFill="1"/>
    <xf numFmtId="44" fontId="24" fillId="3" borderId="0" xfId="0" applyNumberFormat="1" applyFont="1" applyFill="1"/>
    <xf numFmtId="167" fontId="3" fillId="0" borderId="0" xfId="1" applyNumberFormat="1" applyFont="1"/>
    <xf numFmtId="167" fontId="24" fillId="3" borderId="0" xfId="1" applyNumberFormat="1" applyFont="1" applyFill="1"/>
    <xf numFmtId="167" fontId="24" fillId="3" borderId="0" xfId="0" applyNumberFormat="1" applyFont="1" applyFill="1"/>
    <xf numFmtId="14" fontId="0" fillId="0" borderId="0" xfId="0" applyNumberFormat="1"/>
    <xf numFmtId="44" fontId="0" fillId="0" borderId="0" xfId="0" applyNumberFormat="1"/>
    <xf numFmtId="165" fontId="0" fillId="0" borderId="0" xfId="9" applyNumberFormat="1" applyFont="1" applyBorder="1"/>
    <xf numFmtId="165" fontId="0" fillId="0" borderId="0" xfId="9" applyNumberFormat="1" applyFont="1"/>
    <xf numFmtId="166" fontId="0" fillId="0" borderId="0" xfId="9" applyNumberFormat="1" applyFont="1"/>
    <xf numFmtId="167" fontId="0" fillId="0" borderId="0" xfId="0" applyNumberFormat="1"/>
    <xf numFmtId="4" fontId="0" fillId="0" borderId="0" xfId="0" applyNumberFormat="1"/>
    <xf numFmtId="165" fontId="0" fillId="0" borderId="0" xfId="9" applyNumberFormat="1" applyFont="1" applyFill="1" applyBorder="1"/>
    <xf numFmtId="0" fontId="0" fillId="0" borderId="0" xfId="0" quotePrefix="1" applyAlignment="1">
      <alignment horizontal="right"/>
    </xf>
    <xf numFmtId="166" fontId="0" fillId="0" borderId="0" xfId="0" applyNumberFormat="1"/>
    <xf numFmtId="178" fontId="0" fillId="0" borderId="0" xfId="0" applyNumberFormat="1"/>
    <xf numFmtId="0" fontId="27" fillId="0" borderId="3" xfId="0" applyFont="1" applyBorder="1"/>
    <xf numFmtId="178" fontId="27" fillId="0" borderId="3" xfId="0" applyNumberFormat="1" applyFont="1" applyBorder="1"/>
    <xf numFmtId="0" fontId="28" fillId="0" borderId="0" xfId="0" applyFont="1" applyAlignment="1">
      <alignment horizontal="left" indent="1"/>
    </xf>
    <xf numFmtId="166" fontId="28" fillId="0" borderId="0" xfId="0" applyNumberFormat="1" applyFont="1"/>
    <xf numFmtId="179" fontId="0" fillId="0" borderId="0" xfId="0" applyNumberFormat="1"/>
    <xf numFmtId="0" fontId="27" fillId="0" borderId="16" xfId="0" applyFont="1" applyBorder="1"/>
    <xf numFmtId="9" fontId="27" fillId="0" borderId="18" xfId="1" applyFont="1" applyBorder="1"/>
    <xf numFmtId="8" fontId="0" fillId="0" borderId="0" xfId="0" applyNumberFormat="1"/>
    <xf numFmtId="167" fontId="0" fillId="0" borderId="0" xfId="1" applyNumberFormat="1" applyFont="1"/>
    <xf numFmtId="44" fontId="0" fillId="0" borderId="0" xfId="10" applyFont="1"/>
    <xf numFmtId="0" fontId="0" fillId="0" borderId="3" xfId="0" applyBorder="1"/>
    <xf numFmtId="176" fontId="0" fillId="0" borderId="3" xfId="0" applyNumberFormat="1" applyBorder="1"/>
    <xf numFmtId="0" fontId="28" fillId="0" borderId="0" xfId="0" applyFont="1"/>
    <xf numFmtId="43" fontId="0" fillId="0" borderId="3" xfId="0" applyNumberFormat="1" applyBorder="1"/>
    <xf numFmtId="43" fontId="27" fillId="0" borderId="3" xfId="0" applyNumberFormat="1" applyFont="1" applyBorder="1"/>
    <xf numFmtId="0" fontId="7" fillId="2" borderId="0" xfId="2" applyFont="1" applyFill="1" applyAlignment="1">
      <alignment horizontal="centerContinuous"/>
    </xf>
    <xf numFmtId="0" fontId="17" fillId="2" borderId="1" xfId="2" applyFont="1" applyFill="1" applyBorder="1" applyAlignment="1">
      <alignment horizontal="centerContinuous" vertical="center"/>
    </xf>
    <xf numFmtId="0" fontId="17" fillId="2" borderId="1" xfId="2" applyFont="1" applyFill="1" applyBorder="1" applyAlignment="1">
      <alignment horizontal="center" vertical="center" wrapText="1"/>
    </xf>
    <xf numFmtId="3" fontId="7" fillId="0" borderId="0" xfId="2" applyNumberFormat="1" applyFont="1"/>
    <xf numFmtId="9" fontId="3" fillId="0" borderId="3" xfId="1" applyFont="1" applyBorder="1"/>
    <xf numFmtId="180" fontId="0" fillId="0" borderId="0" xfId="10" applyNumberFormat="1" applyFont="1"/>
    <xf numFmtId="180" fontId="0" fillId="0" borderId="0" xfId="0" applyNumberFormat="1"/>
    <xf numFmtId="0" fontId="26" fillId="5" borderId="0" xfId="0" applyFont="1" applyFill="1"/>
    <xf numFmtId="0" fontId="30" fillId="5" borderId="0" xfId="0" applyFont="1" applyFill="1"/>
    <xf numFmtId="0" fontId="22" fillId="5" borderId="0" xfId="0" applyFont="1" applyFill="1"/>
    <xf numFmtId="0" fontId="7" fillId="0" borderId="0" xfId="0" applyFont="1"/>
    <xf numFmtId="0" fontId="30" fillId="5" borderId="0" xfId="0" quotePrefix="1" applyFont="1" applyFill="1"/>
    <xf numFmtId="176" fontId="21" fillId="0" borderId="0" xfId="9" applyNumberFormat="1" applyFont="1"/>
    <xf numFmtId="176" fontId="7" fillId="0" borderId="0" xfId="9" applyNumberFormat="1" applyFont="1"/>
    <xf numFmtId="9" fontId="7" fillId="0" borderId="0" xfId="0" applyNumberFormat="1" applyFont="1"/>
    <xf numFmtId="0" fontId="21" fillId="0" borderId="0" xfId="0" applyFont="1"/>
    <xf numFmtId="9" fontId="21" fillId="3" borderId="0" xfId="0" applyNumberFormat="1" applyFont="1" applyFill="1"/>
    <xf numFmtId="0" fontId="7" fillId="0" borderId="3" xfId="0" applyFont="1" applyBorder="1"/>
    <xf numFmtId="176" fontId="7" fillId="0" borderId="3" xfId="0" applyNumberFormat="1" applyFont="1" applyBorder="1"/>
    <xf numFmtId="0" fontId="21" fillId="3" borderId="0" xfId="0" applyFont="1" applyFill="1"/>
    <xf numFmtId="0" fontId="31" fillId="0" borderId="0" xfId="0" applyFont="1"/>
    <xf numFmtId="43" fontId="31" fillId="0" borderId="0" xfId="9" applyFont="1"/>
    <xf numFmtId="165" fontId="31" fillId="0" borderId="0" xfId="9" applyNumberFormat="1" applyFont="1"/>
    <xf numFmtId="0" fontId="17" fillId="0" borderId="3" xfId="0" applyFont="1" applyBorder="1"/>
    <xf numFmtId="165" fontId="17" fillId="0" borderId="3" xfId="9" applyNumberFormat="1" applyFont="1" applyBorder="1"/>
    <xf numFmtId="0" fontId="0" fillId="0" borderId="2" xfId="0" applyBorder="1"/>
    <xf numFmtId="0" fontId="27" fillId="0" borderId="2" xfId="0" applyFont="1" applyBorder="1"/>
    <xf numFmtId="167" fontId="29" fillId="0" borderId="0" xfId="0" applyNumberFormat="1" applyFont="1"/>
    <xf numFmtId="9" fontId="29" fillId="0" borderId="0" xfId="0" applyNumberFormat="1" applyFont="1"/>
    <xf numFmtId="0" fontId="0" fillId="0" borderId="22" xfId="0" applyBorder="1"/>
    <xf numFmtId="0" fontId="0" fillId="0" borderId="23" xfId="0" applyBorder="1"/>
    <xf numFmtId="0" fontId="0" fillId="0" borderId="2" xfId="0" applyBorder="1" applyAlignment="1">
      <alignment horizontal="right"/>
    </xf>
    <xf numFmtId="10" fontId="29" fillId="0" borderId="0" xfId="0" applyNumberFormat="1" applyFont="1"/>
    <xf numFmtId="168" fontId="2" fillId="5" borderId="0" xfId="0" applyNumberFormat="1" applyFont="1" applyFill="1" applyAlignment="1">
      <alignment horizontal="right"/>
    </xf>
    <xf numFmtId="169" fontId="8" fillId="6" borderId="0" xfId="0" applyNumberFormat="1" applyFont="1" applyFill="1" applyAlignment="1">
      <alignment horizontal="right"/>
    </xf>
    <xf numFmtId="0" fontId="0" fillId="0" borderId="0" xfId="0" applyAlignment="1">
      <alignment horizontal="left" indent="1"/>
    </xf>
    <xf numFmtId="0" fontId="27" fillId="2" borderId="2" xfId="0" applyFont="1" applyFill="1" applyBorder="1"/>
    <xf numFmtId="0" fontId="0" fillId="2" borderId="2" xfId="0" applyFill="1" applyBorder="1"/>
    <xf numFmtId="168" fontId="26" fillId="5" borderId="0" xfId="0" applyNumberFormat="1" applyFont="1" applyFill="1"/>
    <xf numFmtId="169" fontId="26" fillId="5" borderId="0" xfId="0" applyNumberFormat="1" applyFont="1" applyFill="1"/>
    <xf numFmtId="172" fontId="28" fillId="0" borderId="0" xfId="0" applyNumberFormat="1" applyFont="1"/>
    <xf numFmtId="176" fontId="28" fillId="0" borderId="0" xfId="9" applyNumberFormat="1" applyFont="1"/>
    <xf numFmtId="176" fontId="0" fillId="0" borderId="3" xfId="9" applyNumberFormat="1" applyFont="1" applyBorder="1"/>
    <xf numFmtId="0" fontId="32" fillId="0" borderId="16" xfId="0" applyFont="1" applyBorder="1"/>
    <xf numFmtId="0" fontId="32" fillId="0" borderId="17" xfId="0" applyFont="1" applyBorder="1"/>
    <xf numFmtId="9" fontId="32" fillId="0" borderId="17" xfId="0" applyNumberFormat="1" applyFont="1" applyBorder="1"/>
    <xf numFmtId="9" fontId="32" fillId="0" borderId="18" xfId="0" applyNumberFormat="1" applyFont="1" applyBorder="1"/>
    <xf numFmtId="10" fontId="0" fillId="0" borderId="0" xfId="0" applyNumberFormat="1"/>
    <xf numFmtId="0" fontId="27" fillId="0" borderId="0" xfId="0" applyFont="1"/>
    <xf numFmtId="165" fontId="27" fillId="0" borderId="0" xfId="9" applyNumberFormat="1" applyFont="1"/>
    <xf numFmtId="0" fontId="0" fillId="0" borderId="0" xfId="0" quotePrefix="1"/>
    <xf numFmtId="166" fontId="0" fillId="0" borderId="3" xfId="0" applyNumberFormat="1" applyBorder="1"/>
    <xf numFmtId="43" fontId="0" fillId="0" borderId="3" xfId="9" applyFont="1" applyBorder="1"/>
    <xf numFmtId="9" fontId="27" fillId="0" borderId="3" xfId="1" applyFont="1" applyBorder="1"/>
    <xf numFmtId="14" fontId="26" fillId="5" borderId="0" xfId="0" applyNumberFormat="1" applyFont="1" applyFill="1"/>
    <xf numFmtId="44" fontId="0" fillId="0" borderId="3" xfId="10" applyFont="1" applyBorder="1"/>
    <xf numFmtId="165" fontId="0" fillId="0" borderId="3" xfId="9" applyNumberFormat="1" applyFont="1" applyBorder="1"/>
    <xf numFmtId="10" fontId="29" fillId="3" borderId="0" xfId="0" applyNumberFormat="1" applyFont="1" applyFill="1"/>
    <xf numFmtId="44" fontId="29" fillId="3" borderId="0" xfId="10" applyFont="1" applyFill="1"/>
    <xf numFmtId="165" fontId="29" fillId="3" borderId="0" xfId="9" applyNumberFormat="1" applyFont="1" applyFill="1"/>
    <xf numFmtId="43" fontId="0" fillId="0" borderId="0" xfId="9" applyFont="1" applyAlignment="1">
      <alignment horizontal="left"/>
    </xf>
    <xf numFmtId="176" fontId="6" fillId="0" borderId="0" xfId="9" applyNumberFormat="1" applyFont="1" applyFill="1"/>
    <xf numFmtId="44" fontId="33" fillId="0" borderId="0" xfId="0" applyNumberFormat="1" applyFont="1"/>
    <xf numFmtId="14" fontId="7" fillId="0" borderId="0" xfId="0" applyNumberFormat="1" applyFont="1"/>
    <xf numFmtId="176" fontId="6" fillId="7" borderId="0" xfId="9" applyNumberFormat="1" applyFont="1" applyFill="1"/>
    <xf numFmtId="167" fontId="11" fillId="0" borderId="0" xfId="1" applyNumberFormat="1" applyFont="1"/>
    <xf numFmtId="167" fontId="12" fillId="0" borderId="0" xfId="1" applyNumberFormat="1" applyFont="1"/>
    <xf numFmtId="177" fontId="24" fillId="3" borderId="3" xfId="0" applyNumberFormat="1" applyFont="1" applyFill="1" applyBorder="1"/>
    <xf numFmtId="177" fontId="24" fillId="3" borderId="0" xfId="0" applyNumberFormat="1" applyFont="1" applyFill="1"/>
    <xf numFmtId="167" fontId="24" fillId="0" borderId="0" xfId="1" applyNumberFormat="1" applyFont="1"/>
    <xf numFmtId="177" fontId="3" fillId="0" borderId="3" xfId="0" applyNumberFormat="1" applyFont="1" applyBorder="1"/>
    <xf numFmtId="177" fontId="3" fillId="0" borderId="0" xfId="0" applyNumberFormat="1" applyFont="1"/>
    <xf numFmtId="0" fontId="17" fillId="0" borderId="0" xfId="8" applyFont="1"/>
    <xf numFmtId="0" fontId="7" fillId="0" borderId="0" xfId="8"/>
    <xf numFmtId="0" fontId="17" fillId="8" borderId="0" xfId="8" applyFont="1" applyFill="1" applyAlignment="1">
      <alignment horizontal="left"/>
    </xf>
    <xf numFmtId="0" fontId="7" fillId="0" borderId="0" xfId="8" applyAlignment="1">
      <alignment horizontal="left"/>
    </xf>
    <xf numFmtId="0" fontId="7" fillId="9" borderId="0" xfId="8" applyFill="1" applyAlignment="1">
      <alignment horizontal="left"/>
    </xf>
    <xf numFmtId="9" fontId="7" fillId="0" borderId="0" xfId="1" applyFont="1" applyAlignment="1">
      <alignment horizontal="right"/>
    </xf>
    <xf numFmtId="9" fontId="7" fillId="9" borderId="0" xfId="1" applyFont="1" applyFill="1" applyAlignment="1">
      <alignment horizontal="right"/>
    </xf>
    <xf numFmtId="167" fontId="24" fillId="0" borderId="0" xfId="0" applyNumberFormat="1" applyFont="1"/>
    <xf numFmtId="167" fontId="3" fillId="0" borderId="0" xfId="0" applyNumberFormat="1" applyFont="1"/>
    <xf numFmtId="3" fontId="7" fillId="0" borderId="0" xfId="8" applyNumberFormat="1" applyAlignment="1">
      <alignment horizontal="right"/>
    </xf>
    <xf numFmtId="0" fontId="17" fillId="0" borderId="0" xfId="8" applyFont="1" applyAlignment="1">
      <alignment horizontal="left"/>
    </xf>
    <xf numFmtId="3" fontId="17" fillId="0" borderId="0" xfId="8" applyNumberFormat="1" applyFont="1" applyAlignment="1">
      <alignment horizontal="right"/>
    </xf>
    <xf numFmtId="0" fontId="22" fillId="5" borderId="0" xfId="8" applyFont="1" applyFill="1"/>
    <xf numFmtId="37" fontId="7" fillId="0" borderId="0" xfId="8" applyNumberFormat="1"/>
    <xf numFmtId="43" fontId="7" fillId="0" borderId="0" xfId="9" applyFont="1"/>
    <xf numFmtId="176" fontId="7" fillId="0" borderId="0" xfId="8" applyNumberFormat="1"/>
    <xf numFmtId="176" fontId="17" fillId="0" borderId="0" xfId="8" applyNumberFormat="1" applyFont="1"/>
    <xf numFmtId="0" fontId="7" fillId="0" borderId="2" xfId="8" applyBorder="1"/>
    <xf numFmtId="9" fontId="7" fillId="0" borderId="0" xfId="1" applyFont="1"/>
    <xf numFmtId="43" fontId="7" fillId="0" borderId="0" xfId="0" applyNumberFormat="1" applyFont="1"/>
    <xf numFmtId="9" fontId="7" fillId="0" borderId="0" xfId="8" applyNumberFormat="1"/>
    <xf numFmtId="0" fontId="8" fillId="6" borderId="0" xfId="0" quotePrefix="1" applyFont="1" applyFill="1" applyAlignment="1">
      <alignment horizontal="right"/>
    </xf>
    <xf numFmtId="167" fontId="7" fillId="0" borderId="0" xfId="8" applyNumberFormat="1"/>
    <xf numFmtId="173" fontId="0" fillId="0" borderId="0" xfId="10" applyNumberFormat="1" applyFont="1"/>
    <xf numFmtId="0" fontId="27" fillId="2" borderId="0" xfId="0" applyFont="1" applyFill="1"/>
    <xf numFmtId="0" fontId="34" fillId="5" borderId="0" xfId="0" applyFont="1" applyFill="1"/>
    <xf numFmtId="9" fontId="28" fillId="0" borderId="0" xfId="1" applyFont="1"/>
    <xf numFmtId="0" fontId="7" fillId="2" borderId="0" xfId="8" applyFill="1"/>
    <xf numFmtId="0" fontId="17" fillId="2" borderId="0" xfId="8" applyFont="1" applyFill="1"/>
    <xf numFmtId="0" fontId="7" fillId="0" borderId="0" xfId="0" applyFont="1" applyAlignment="1">
      <alignment horizontal="left" indent="1"/>
    </xf>
    <xf numFmtId="0" fontId="7" fillId="0" borderId="0" xfId="8" applyAlignment="1">
      <alignment horizontal="left" indent="2"/>
    </xf>
    <xf numFmtId="0" fontId="7" fillId="0" borderId="30" xfId="0" applyFont="1" applyBorder="1" applyAlignment="1">
      <alignment horizontal="left" indent="1"/>
    </xf>
    <xf numFmtId="0" fontId="7" fillId="0" borderId="31" xfId="8" applyBorder="1"/>
    <xf numFmtId="0" fontId="7" fillId="0" borderId="30" xfId="8" applyBorder="1" applyAlignment="1">
      <alignment horizontal="left" indent="2"/>
    </xf>
    <xf numFmtId="9" fontId="7" fillId="0" borderId="31" xfId="1" applyFont="1" applyBorder="1"/>
    <xf numFmtId="0" fontId="7" fillId="0" borderId="32" xfId="8" applyBorder="1" applyAlignment="1">
      <alignment horizontal="left" indent="2"/>
    </xf>
    <xf numFmtId="0" fontId="7" fillId="0" borderId="33" xfId="8" applyBorder="1"/>
    <xf numFmtId="9" fontId="7" fillId="0" borderId="34" xfId="1" applyFont="1" applyBorder="1"/>
    <xf numFmtId="0" fontId="7" fillId="2" borderId="28" xfId="8" applyFill="1" applyBorder="1"/>
    <xf numFmtId="0" fontId="17" fillId="2" borderId="27" xfId="0" applyFont="1" applyFill="1" applyBorder="1" applyAlignment="1">
      <alignment horizontal="left" indent="1"/>
    </xf>
    <xf numFmtId="0" fontId="17" fillId="2" borderId="28" xfId="8" applyFont="1" applyFill="1" applyBorder="1"/>
    <xf numFmtId="0" fontId="17" fillId="2" borderId="29" xfId="8" applyFont="1" applyFill="1" applyBorder="1"/>
    <xf numFmtId="176" fontId="7" fillId="2" borderId="0" xfId="9" applyNumberFormat="1" applyFont="1" applyFill="1"/>
    <xf numFmtId="9" fontId="7" fillId="0" borderId="0" xfId="1" applyFont="1" applyBorder="1"/>
    <xf numFmtId="9" fontId="7" fillId="0" borderId="33" xfId="1" applyFont="1" applyBorder="1"/>
    <xf numFmtId="0" fontId="17" fillId="2" borderId="28" xfId="0" applyFont="1" applyFill="1" applyBorder="1" applyAlignment="1">
      <alignment horizontal="left" indent="1"/>
    </xf>
    <xf numFmtId="0" fontId="7" fillId="0" borderId="33" xfId="8" applyBorder="1" applyAlignment="1">
      <alignment horizontal="left" indent="2"/>
    </xf>
    <xf numFmtId="167" fontId="25" fillId="3" borderId="0" xfId="1" applyNumberFormat="1" applyFont="1" applyFill="1"/>
    <xf numFmtId="3" fontId="17" fillId="0" borderId="3" xfId="8" applyNumberFormat="1" applyFont="1" applyBorder="1" applyAlignment="1">
      <alignment horizontal="right"/>
    </xf>
    <xf numFmtId="0" fontId="17" fillId="0" borderId="3" xfId="8" applyFont="1" applyBorder="1" applyAlignment="1">
      <alignment horizontal="left"/>
    </xf>
    <xf numFmtId="0" fontId="7" fillId="0" borderId="3" xfId="8" applyBorder="1" applyAlignment="1">
      <alignment horizontal="left"/>
    </xf>
    <xf numFmtId="0" fontId="2" fillId="5" borderId="0" xfId="0" applyFont="1" applyFill="1" applyAlignment="1">
      <alignment horizontal="center"/>
    </xf>
    <xf numFmtId="0" fontId="35" fillId="5" borderId="0" xfId="0" applyFont="1" applyFill="1" applyAlignment="1">
      <alignment horizontal="center"/>
    </xf>
    <xf numFmtId="0" fontId="5" fillId="2" borderId="0" xfId="0" quotePrefix="1" applyFont="1" applyFill="1" applyAlignment="1">
      <alignment horizontal="right"/>
    </xf>
    <xf numFmtId="167" fontId="5" fillId="0" borderId="3" xfId="1" applyNumberFormat="1" applyFont="1" applyBorder="1"/>
    <xf numFmtId="184" fontId="3" fillId="0" borderId="0" xfId="9" applyNumberFormat="1" applyFont="1"/>
    <xf numFmtId="184" fontId="5" fillId="0" borderId="3" xfId="9" applyNumberFormat="1" applyFont="1" applyBorder="1"/>
    <xf numFmtId="0" fontId="8" fillId="2" borderId="1" xfId="2" quotePrefix="1" applyFont="1" applyFill="1" applyBorder="1" applyAlignment="1">
      <alignment horizontal="centerContinuous"/>
    </xf>
    <xf numFmtId="0" fontId="6" fillId="0" borderId="3" xfId="2" applyFont="1" applyFill="1" applyBorder="1"/>
    <xf numFmtId="167" fontId="8" fillId="0" borderId="12" xfId="4" applyNumberFormat="1" applyFont="1" applyBorder="1"/>
    <xf numFmtId="172" fontId="15" fillId="0" borderId="11" xfId="2" applyNumberFormat="1" applyFont="1" applyBorder="1"/>
    <xf numFmtId="0" fontId="6" fillId="0" borderId="10" xfId="2" applyFont="1" applyFill="1" applyBorder="1"/>
    <xf numFmtId="9" fontId="5" fillId="0" borderId="1" xfId="0" applyNumberFormat="1" applyFont="1" applyBorder="1"/>
    <xf numFmtId="11" fontId="8" fillId="2" borderId="3" xfId="2" quotePrefix="1" applyNumberFormat="1" applyFont="1" applyFill="1" applyBorder="1"/>
    <xf numFmtId="11" fontId="8" fillId="2" borderId="3" xfId="2" applyNumberFormat="1" applyFont="1" applyFill="1" applyBorder="1"/>
    <xf numFmtId="44" fontId="3" fillId="0" borderId="0" xfId="0" applyNumberFormat="1" applyFont="1"/>
    <xf numFmtId="12" fontId="3" fillId="0" borderId="0" xfId="9" applyNumberFormat="1" applyFont="1"/>
  </cellXfs>
  <cellStyles count="11">
    <cellStyle name="Comma" xfId="9" builtinId="3"/>
    <cellStyle name="Comma 2" xfId="3" xr:uid="{630D3710-68EA-4D15-B5D0-15B5E1DC4F16}"/>
    <cellStyle name="Comma 3" xfId="5" xr:uid="{54897ACA-9774-4ABC-A4DE-BA42E68843FA}"/>
    <cellStyle name="Currency" xfId="10" builtinId="4"/>
    <cellStyle name="Currency 2" xfId="6" xr:uid="{0A697EC8-F854-4EAC-A461-8136229EE781}"/>
    <cellStyle name="Normal" xfId="0" builtinId="0"/>
    <cellStyle name="Normal 2" xfId="8" xr:uid="{A9DFE0E4-16BD-48F3-995C-EB718831A0AD}"/>
    <cellStyle name="Normal 6" xfId="2" xr:uid="{18DD804D-ACF7-4EBD-B442-C3B6E8A9B777}"/>
    <cellStyle name="Percent" xfId="1" builtinId="5"/>
    <cellStyle name="Percent 2" xfId="7" xr:uid="{078FC704-5650-44ED-B5E3-69D2E6F09D70}"/>
    <cellStyle name="Percent 3" xfId="4" xr:uid="{F809F422-08D2-48A0-8168-5F8BBE9908C8}"/>
  </cellStyles>
  <dxfs count="1">
    <dxf>
      <font>
        <color rgb="FFFF0000"/>
      </font>
    </dxf>
  </dxfs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8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7.xml"/><Relationship Id="rId37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externalLink" Target="externalLinks/externalLink5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areaChart>
        <c:grouping val="percentStacked"/>
        <c:varyColors val="0"/>
        <c:ser>
          <c:idx val="0"/>
          <c:order val="0"/>
          <c:tx>
            <c:strRef>
              <c:f>Model!$B$134</c:f>
              <c:strCache>
                <c:ptCount val="1"/>
                <c:pt idx="0">
                  <c:v>Aero-Commercial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dLbls>
            <c:dLbl>
              <c:idx val="0"/>
              <c:layout>
                <c:manualLayout>
                  <c:x val="2.5411063977255687E-2"/>
                  <c:y val="-9.2592592592592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F5C-4E80-83B4-4B5682FD9E41}"/>
                </c:ext>
              </c:extLst>
            </c:dLbl>
            <c:dLbl>
              <c:idx val="9"/>
              <c:layout>
                <c:manualLayout>
                  <c:x val="-1.7787744784079174E-2"/>
                  <c:y val="-8.4875562720133283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F5C-4E80-83B4-4B5682FD9E4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Model!$X$3:$AG$3</c:f>
              <c:numCache>
                <c:formatCode>0"A"</c:formatCode>
                <c:ptCount val="10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 formatCode="0&quot;E&quot;">
                  <c:v>2024</c:v>
                </c:pt>
                <c:pt idx="4" formatCode="0&quot;E&quot;">
                  <c:v>2025</c:v>
                </c:pt>
                <c:pt idx="5" formatCode="0&quot;E&quot;">
                  <c:v>2026</c:v>
                </c:pt>
                <c:pt idx="6" formatCode="0&quot;E&quot;">
                  <c:v>2027</c:v>
                </c:pt>
                <c:pt idx="7" formatCode="0&quot;E&quot;">
                  <c:v>2028</c:v>
                </c:pt>
                <c:pt idx="8" formatCode="0&quot;E&quot;">
                  <c:v>2029</c:v>
                </c:pt>
                <c:pt idx="9" formatCode="0&quot;E&quot;">
                  <c:v>2030</c:v>
                </c:pt>
              </c:numCache>
            </c:numRef>
          </c:cat>
          <c:val>
            <c:numRef>
              <c:f>Model!$X$134:$AG$134</c:f>
              <c:numCache>
                <c:formatCode>0%</c:formatCode>
                <c:ptCount val="10"/>
                <c:pt idx="0">
                  <c:v>0.38500948766603416</c:v>
                </c:pt>
                <c:pt idx="1">
                  <c:v>0.44440654843110505</c:v>
                </c:pt>
                <c:pt idx="2">
                  <c:v>0.48629518072289157</c:v>
                </c:pt>
                <c:pt idx="3">
                  <c:v>0.5172977148321205</c:v>
                </c:pt>
                <c:pt idx="4">
                  <c:v>0.51498218088803493</c:v>
                </c:pt>
                <c:pt idx="5">
                  <c:v>0.49928568753530744</c:v>
                </c:pt>
                <c:pt idx="6">
                  <c:v>0.47772986851543775</c:v>
                </c:pt>
                <c:pt idx="7">
                  <c:v>0.46975517983171217</c:v>
                </c:pt>
                <c:pt idx="8">
                  <c:v>0.45049042295959335</c:v>
                </c:pt>
                <c:pt idx="9">
                  <c:v>0.42965072895630502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F5C-4E80-83B4-4B5682FD9E41}"/>
            </c:ext>
          </c:extLst>
        </c:ser>
        <c:ser>
          <c:idx val="1"/>
          <c:order val="1"/>
          <c:tx>
            <c:strRef>
              <c:f>Model!$B$135</c:f>
              <c:strCache>
                <c:ptCount val="1"/>
                <c:pt idx="0">
                  <c:v>Aero- Defense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dLbls>
            <c:dLbl>
              <c:idx val="0"/>
              <c:layout>
                <c:manualLayout>
                  <c:x val="2.5411063977255698E-2"/>
                  <c:y val="-9.2592592592592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F5C-4E80-83B4-4B5682FD9E41}"/>
                </c:ext>
              </c:extLst>
            </c:dLbl>
            <c:dLbl>
              <c:idx val="9"/>
              <c:layout>
                <c:manualLayout>
                  <c:x val="-1.7787744784079174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F5C-4E80-83B4-4B5682FD9E4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Model!$X$3:$AG$3</c:f>
              <c:numCache>
                <c:formatCode>0"A"</c:formatCode>
                <c:ptCount val="10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 formatCode="0&quot;E&quot;">
                  <c:v>2024</c:v>
                </c:pt>
                <c:pt idx="4" formatCode="0&quot;E&quot;">
                  <c:v>2025</c:v>
                </c:pt>
                <c:pt idx="5" formatCode="0&quot;E&quot;">
                  <c:v>2026</c:v>
                </c:pt>
                <c:pt idx="6" formatCode="0&quot;E&quot;">
                  <c:v>2027</c:v>
                </c:pt>
                <c:pt idx="7" formatCode="0&quot;E&quot;">
                  <c:v>2028</c:v>
                </c:pt>
                <c:pt idx="8" formatCode="0&quot;E&quot;">
                  <c:v>2029</c:v>
                </c:pt>
                <c:pt idx="9" formatCode="0&quot;E&quot;">
                  <c:v>2030</c:v>
                </c:pt>
              </c:numCache>
            </c:numRef>
          </c:cat>
          <c:val>
            <c:numRef>
              <c:f>Model!$X$135:$AG$135</c:f>
              <c:numCache>
                <c:formatCode>0%</c:formatCode>
                <c:ptCount val="10"/>
                <c:pt idx="0">
                  <c:v>0.18045540796963946</c:v>
                </c:pt>
                <c:pt idx="1">
                  <c:v>0.15740109140518418</c:v>
                </c:pt>
                <c:pt idx="2">
                  <c:v>0.15286144578313254</c:v>
                </c:pt>
                <c:pt idx="3">
                  <c:v>0.15510566328013664</c:v>
                </c:pt>
                <c:pt idx="4">
                  <c:v>0.15481402811332101</c:v>
                </c:pt>
                <c:pt idx="5">
                  <c:v>0.15036712234391975</c:v>
                </c:pt>
                <c:pt idx="6">
                  <c:v>0.14375291916752073</c:v>
                </c:pt>
                <c:pt idx="7">
                  <c:v>0.14210199832803566</c:v>
                </c:pt>
                <c:pt idx="8">
                  <c:v>0.13627436604985077</c:v>
                </c:pt>
                <c:pt idx="9">
                  <c:v>0.12997031174762264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F5C-4E80-83B4-4B5682FD9E41}"/>
            </c:ext>
          </c:extLst>
        </c:ser>
        <c:ser>
          <c:idx val="2"/>
          <c:order val="2"/>
          <c:tx>
            <c:strRef>
              <c:f>Model!$B$136</c:f>
              <c:strCache>
                <c:ptCount val="1"/>
                <c:pt idx="0">
                  <c:v>Commercial Transport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dLbls>
            <c:dLbl>
              <c:idx val="0"/>
              <c:layout>
                <c:manualLayout>
                  <c:x val="2.2869957579530129E-2"/>
                  <c:y val="-4.2437781360066642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F5C-4E80-83B4-4B5682FD9E41}"/>
                </c:ext>
              </c:extLst>
            </c:dLbl>
            <c:dLbl>
              <c:idx val="9"/>
              <c:layout>
                <c:manualLayout>
                  <c:x val="-2.2869957579530312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F5C-4E80-83B4-4B5682FD9E4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Model!$X$3:$AG$3</c:f>
              <c:numCache>
                <c:formatCode>0"A"</c:formatCode>
                <c:ptCount val="10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 formatCode="0&quot;E&quot;">
                  <c:v>2024</c:v>
                </c:pt>
                <c:pt idx="4" formatCode="0&quot;E&quot;">
                  <c:v>2025</c:v>
                </c:pt>
                <c:pt idx="5" formatCode="0&quot;E&quot;">
                  <c:v>2026</c:v>
                </c:pt>
                <c:pt idx="6" formatCode="0&quot;E&quot;">
                  <c:v>2027</c:v>
                </c:pt>
                <c:pt idx="7" formatCode="0&quot;E&quot;">
                  <c:v>2028</c:v>
                </c:pt>
                <c:pt idx="8" formatCode="0&quot;E&quot;">
                  <c:v>2029</c:v>
                </c:pt>
                <c:pt idx="9" formatCode="0&quot;E&quot;">
                  <c:v>2030</c:v>
                </c:pt>
              </c:numCache>
            </c:numRef>
          </c:cat>
          <c:val>
            <c:numRef>
              <c:f>Model!$X$136:$AG$136</c:f>
              <c:numCache>
                <c:formatCode>0%</c:formatCode>
                <c:ptCount val="10"/>
                <c:pt idx="0">
                  <c:v>0.25863377609108157</c:v>
                </c:pt>
                <c:pt idx="1">
                  <c:v>0.23635743519781718</c:v>
                </c:pt>
                <c:pt idx="2">
                  <c:v>0.21114457831325301</c:v>
                </c:pt>
                <c:pt idx="3">
                  <c:v>0.17761203304140968</c:v>
                </c:pt>
                <c:pt idx="4">
                  <c:v>0.16184230793336343</c:v>
                </c:pt>
                <c:pt idx="5">
                  <c:v>0.15279604241375805</c:v>
                </c:pt>
                <c:pt idx="6">
                  <c:v>0.13858490699783116</c:v>
                </c:pt>
                <c:pt idx="7">
                  <c:v>0.12749989956361871</c:v>
                </c:pt>
                <c:pt idx="8">
                  <c:v>0.12227110236931717</c:v>
                </c:pt>
                <c:pt idx="9">
                  <c:v>0.11661483926369758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F5C-4E80-83B4-4B5682FD9E41}"/>
            </c:ext>
          </c:extLst>
        </c:ser>
        <c:ser>
          <c:idx val="3"/>
          <c:order val="3"/>
          <c:tx>
            <c:strRef>
              <c:f>Model!$B$137</c:f>
              <c:strCache>
                <c:ptCount val="1"/>
                <c:pt idx="0">
                  <c:v>Industrial and Other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dLbls>
            <c:dLbl>
              <c:idx val="0"/>
              <c:layout>
                <c:manualLayout>
                  <c:x val="2.2869957579530129E-2"/>
                  <c:y val="-1.060944534001666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F5C-4E80-83B4-4B5682FD9E41}"/>
                </c:ext>
              </c:extLst>
            </c:dLbl>
            <c:dLbl>
              <c:idx val="9"/>
              <c:layout>
                <c:manualLayout>
                  <c:x val="-2.2869957579530312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F5C-4E80-83B4-4B5682FD9E4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Model!$X$3:$AG$3</c:f>
              <c:numCache>
                <c:formatCode>0"A"</c:formatCode>
                <c:ptCount val="10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 formatCode="0&quot;E&quot;">
                  <c:v>2024</c:v>
                </c:pt>
                <c:pt idx="4" formatCode="0&quot;E&quot;">
                  <c:v>2025</c:v>
                </c:pt>
                <c:pt idx="5" formatCode="0&quot;E&quot;">
                  <c:v>2026</c:v>
                </c:pt>
                <c:pt idx="6" formatCode="0&quot;E&quot;">
                  <c:v>2027</c:v>
                </c:pt>
                <c:pt idx="7" formatCode="0&quot;E&quot;">
                  <c:v>2028</c:v>
                </c:pt>
                <c:pt idx="8" formatCode="0&quot;E&quot;">
                  <c:v>2029</c:v>
                </c:pt>
                <c:pt idx="9" formatCode="0&quot;E&quot;">
                  <c:v>2030</c:v>
                </c:pt>
              </c:numCache>
            </c:numRef>
          </c:cat>
          <c:val>
            <c:numRef>
              <c:f>Model!$X$137:$AG$137</c:f>
              <c:numCache>
                <c:formatCode>0%</c:formatCode>
                <c:ptCount val="10"/>
                <c:pt idx="0">
                  <c:v>0.17590132827324478</c:v>
                </c:pt>
                <c:pt idx="1">
                  <c:v>0.16183492496589358</c:v>
                </c:pt>
                <c:pt idx="2">
                  <c:v>0.1496987951807229</c:v>
                </c:pt>
                <c:pt idx="3">
                  <c:v>0.14998458884633331</c:v>
                </c:pt>
                <c:pt idx="4">
                  <c:v>0.16836148306528059</c:v>
                </c:pt>
                <c:pt idx="5">
                  <c:v>0.19755114770701487</c:v>
                </c:pt>
                <c:pt idx="6">
                  <c:v>0.23993230531921025</c:v>
                </c:pt>
                <c:pt idx="7">
                  <c:v>0.26064292227663349</c:v>
                </c:pt>
                <c:pt idx="8">
                  <c:v>0.29096410862123878</c:v>
                </c:pt>
                <c:pt idx="9">
                  <c:v>0.32376412003237476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7F5C-4E80-83B4-4B5682FD9E4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axId val="982654912"/>
        <c:axId val="982679872"/>
      </c:areaChart>
      <c:catAx>
        <c:axId val="982654912"/>
        <c:scaling>
          <c:orientation val="minMax"/>
        </c:scaling>
        <c:delete val="0"/>
        <c:axPos val="b"/>
        <c:numFmt formatCode="0&quot;A&quot;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2679872"/>
        <c:crosses val="autoZero"/>
        <c:auto val="1"/>
        <c:lblAlgn val="ctr"/>
        <c:lblOffset val="100"/>
        <c:noMultiLvlLbl val="0"/>
      </c:catAx>
      <c:valAx>
        <c:axId val="982679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26549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Model!$B$181</c:f>
              <c:strCache>
                <c:ptCount val="1"/>
                <c:pt idx="0">
                  <c:v>Gross Profit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Model!$Y$3:$AA$3</c:f>
              <c:numCache>
                <c:formatCode>0"A"</c:formatCode>
                <c:ptCount val="3"/>
                <c:pt idx="0">
                  <c:v>2022</c:v>
                </c:pt>
                <c:pt idx="1">
                  <c:v>2023</c:v>
                </c:pt>
                <c:pt idx="2" formatCode="0&quot;E&quot;">
                  <c:v>2024</c:v>
                </c:pt>
              </c:numCache>
            </c:numRef>
          </c:cat>
          <c:val>
            <c:numRef>
              <c:f>Model!$Y$181:$AA$181</c:f>
              <c:numCache>
                <c:formatCode>#,##0_);\(#,##0\)</c:formatCode>
                <c:ptCount val="3"/>
                <c:pt idx="0">
                  <c:v>1560</c:v>
                </c:pt>
                <c:pt idx="1">
                  <c:v>1867</c:v>
                </c:pt>
                <c:pt idx="2">
                  <c:v>2307.4076771770269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BB-4FD9-B280-A9C4B5352D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9"/>
        <c:overlap val="-27"/>
        <c:axId val="1195972127"/>
        <c:axId val="1195975007"/>
      </c:barChart>
      <c:lineChart>
        <c:grouping val="standard"/>
        <c:varyColors val="0"/>
        <c:ser>
          <c:idx val="1"/>
          <c:order val="1"/>
          <c:tx>
            <c:strRef>
              <c:f>Model!$B$182</c:f>
              <c:strCache>
                <c:ptCount val="1"/>
                <c:pt idx="0">
                  <c:v>% Margin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2"/>
              <c:layout>
                <c:manualLayout>
                  <c:x val="-5.5368110236220576E-2"/>
                  <c:y val="1.623833479148439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2BB-4FD9-B280-A9C4B5352D2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Model!$Y$182:$AA$182</c:f>
              <c:numCache>
                <c:formatCode>0.0%</c:formatCode>
                <c:ptCount val="3"/>
                <c:pt idx="0">
                  <c:v>0.27547236447112838</c:v>
                </c:pt>
                <c:pt idx="1">
                  <c:v>0.2811746987951807</c:v>
                </c:pt>
                <c:pt idx="2">
                  <c:v>0.31008437499839259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2BB-4FD9-B280-A9C4B5352D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5975487"/>
        <c:axId val="1195978367"/>
      </c:lineChart>
      <c:catAx>
        <c:axId val="1195972127"/>
        <c:scaling>
          <c:orientation val="minMax"/>
        </c:scaling>
        <c:delete val="0"/>
        <c:axPos val="b"/>
        <c:numFmt formatCode="0&quot;A&quot;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195975007"/>
        <c:crosses val="autoZero"/>
        <c:auto val="1"/>
        <c:lblAlgn val="ctr"/>
        <c:lblOffset val="100"/>
        <c:noMultiLvlLbl val="0"/>
      </c:catAx>
      <c:valAx>
        <c:axId val="1195975007"/>
        <c:scaling>
          <c:orientation val="minMax"/>
        </c:scaling>
        <c:delete val="0"/>
        <c:axPos val="l"/>
        <c:numFmt formatCode="#,##0_);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195972127"/>
        <c:crosses val="autoZero"/>
        <c:crossBetween val="between"/>
      </c:valAx>
      <c:valAx>
        <c:axId val="1195978367"/>
        <c:scaling>
          <c:orientation val="minMax"/>
        </c:scaling>
        <c:delete val="0"/>
        <c:axPos val="r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195975487"/>
        <c:crosses val="max"/>
        <c:crossBetween val="between"/>
      </c:valAx>
      <c:catAx>
        <c:axId val="1195975487"/>
        <c:scaling>
          <c:orientation val="minMax"/>
        </c:scaling>
        <c:delete val="1"/>
        <c:axPos val="b"/>
        <c:majorTickMark val="none"/>
        <c:minorTickMark val="none"/>
        <c:tickLblPos val="nextTo"/>
        <c:crossAx val="1195978367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'Historical EIA Data'!$B$6</c:f>
              <c:strCache>
                <c:ptCount val="1"/>
                <c:pt idx="0">
                  <c:v>Nameplate Power (kW)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'Historical EIA Data'!$C$5:$AF$5</c:f>
              <c:numCache>
                <c:formatCode>General</c:formatCode>
                <c:ptCount val="30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  <c:pt idx="28">
                  <c:v>2023</c:v>
                </c:pt>
                <c:pt idx="29">
                  <c:v>2024</c:v>
                </c:pt>
              </c:numCache>
            </c:numRef>
          </c:cat>
          <c:val>
            <c:numRef>
              <c:f>'Historical EIA Data'!$C$6:$AF$6</c:f>
              <c:numCache>
                <c:formatCode>_(* #,##0_);_(* \(#,##0\);_(* "-"??_);_(@_)</c:formatCode>
                <c:ptCount val="30"/>
                <c:pt idx="0">
                  <c:v>6829.3</c:v>
                </c:pt>
                <c:pt idx="1">
                  <c:v>4272.6000000000004</c:v>
                </c:pt>
                <c:pt idx="2">
                  <c:v>3844.7</c:v>
                </c:pt>
                <c:pt idx="3">
                  <c:v>2065.6999999999998</c:v>
                </c:pt>
                <c:pt idx="4">
                  <c:v>8855</c:v>
                </c:pt>
                <c:pt idx="5">
                  <c:v>29639</c:v>
                </c:pt>
                <c:pt idx="6">
                  <c:v>42377.2</c:v>
                </c:pt>
                <c:pt idx="7">
                  <c:v>61157.599999999999</c:v>
                </c:pt>
                <c:pt idx="8">
                  <c:v>53636.7</c:v>
                </c:pt>
                <c:pt idx="9">
                  <c:v>24797.8</c:v>
                </c:pt>
                <c:pt idx="10">
                  <c:v>16809.599999999999</c:v>
                </c:pt>
                <c:pt idx="11">
                  <c:v>10070.6</c:v>
                </c:pt>
                <c:pt idx="12">
                  <c:v>7701.5</c:v>
                </c:pt>
                <c:pt idx="13">
                  <c:v>8613.4</c:v>
                </c:pt>
                <c:pt idx="14">
                  <c:v>10304.1</c:v>
                </c:pt>
                <c:pt idx="15">
                  <c:v>6626.7</c:v>
                </c:pt>
                <c:pt idx="16">
                  <c:v>10671.8</c:v>
                </c:pt>
                <c:pt idx="17">
                  <c:v>10136</c:v>
                </c:pt>
                <c:pt idx="18">
                  <c:v>7505.1</c:v>
                </c:pt>
                <c:pt idx="19">
                  <c:v>8827.2999999999993</c:v>
                </c:pt>
                <c:pt idx="20">
                  <c:v>6852.9</c:v>
                </c:pt>
                <c:pt idx="21">
                  <c:v>8875.2999999999993</c:v>
                </c:pt>
                <c:pt idx="22">
                  <c:v>10311.4</c:v>
                </c:pt>
                <c:pt idx="23">
                  <c:v>21244</c:v>
                </c:pt>
                <c:pt idx="24">
                  <c:v>7676.1</c:v>
                </c:pt>
                <c:pt idx="25">
                  <c:v>6747.3</c:v>
                </c:pt>
                <c:pt idx="26">
                  <c:v>7135.7</c:v>
                </c:pt>
                <c:pt idx="27">
                  <c:v>6851.6</c:v>
                </c:pt>
                <c:pt idx="28">
                  <c:v>9529</c:v>
                </c:pt>
                <c:pt idx="29">
                  <c:v>61313.8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36-4FEA-9B1C-3D1BF95E00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0974159"/>
        <c:axId val="540974639"/>
      </c:barChart>
      <c:catAx>
        <c:axId val="540974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40974639"/>
        <c:crosses val="autoZero"/>
        <c:auto val="1"/>
        <c:lblAlgn val="ctr"/>
        <c:lblOffset val="100"/>
        <c:noMultiLvlLbl val="0"/>
      </c:catAx>
      <c:valAx>
        <c:axId val="5409746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409741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'Historical EIA Data'!$B$28</c:f>
              <c:strCache>
                <c:ptCount val="1"/>
                <c:pt idx="0">
                  <c:v>GE power system sales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'Historical EIA Data'!$C$5:$J$5</c:f>
              <c:numCache>
                <c:formatCode>General</c:formatCode>
                <c:ptCount val="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</c:numCache>
            </c:numRef>
          </c:cat>
          <c:val>
            <c:numRef>
              <c:f>'Historical EIA Data'!$C$28:$J$28</c:f>
              <c:numCache>
                <c:formatCode>_("$"* #,##0.0_);_("$"* \(#,##0.0\);_("$"* "-"??_);_(@_)</c:formatCode>
                <c:ptCount val="8"/>
                <c:pt idx="0">
                  <c:v>6.9619999999999997</c:v>
                </c:pt>
                <c:pt idx="1">
                  <c:v>7.7039999999999997</c:v>
                </c:pt>
                <c:pt idx="2">
                  <c:v>7.9859999999999998</c:v>
                </c:pt>
                <c:pt idx="3">
                  <c:v>8.5</c:v>
                </c:pt>
                <c:pt idx="4">
                  <c:v>10.099</c:v>
                </c:pt>
                <c:pt idx="5">
                  <c:v>14.861000000000001</c:v>
                </c:pt>
                <c:pt idx="6">
                  <c:v>20.210999999999999</c:v>
                </c:pt>
                <c:pt idx="7">
                  <c:v>22.925999999999998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CA-4D17-8D59-A18A3A07DB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1291023"/>
        <c:axId val="631283823"/>
      </c:barChart>
      <c:catAx>
        <c:axId val="6312910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31283823"/>
        <c:crosses val="autoZero"/>
        <c:auto val="1"/>
        <c:lblAlgn val="ctr"/>
        <c:lblOffset val="100"/>
        <c:noMultiLvlLbl val="0"/>
      </c:catAx>
      <c:valAx>
        <c:axId val="631283823"/>
        <c:scaling>
          <c:orientation val="minMax"/>
        </c:scaling>
        <c:delete val="1"/>
        <c:axPos val="l"/>
        <c:numFmt formatCode="_(&quot;$&quot;* #,##0.0_);_(&quot;$&quot;* \(#,##0.0\);_(&quot;$&quot;* &quot;-&quot;??_);_(@_)" sourceLinked="1"/>
        <c:majorTickMark val="none"/>
        <c:minorTickMark val="none"/>
        <c:tickLblPos val="nextTo"/>
        <c:crossAx val="6312910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F5982BBF-2429-4E32-B256-35DEAEDEA98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7EB-4767-897F-6E41DE5342A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7EB-4767-897F-6E41DE5342AE}"/>
                </c:ext>
              </c:extLst>
            </c:dLbl>
            <c:dLbl>
              <c:idx val="2"/>
              <c:layout>
                <c:manualLayout>
                  <c:x val="-9.9433910200958486E-2"/>
                  <c:y val="-6.0836507505441569E-2"/>
                </c:manualLayout>
              </c:layout>
              <c:tx>
                <c:rich>
                  <a:bodyPr/>
                  <a:lstStyle/>
                  <a:p>
                    <a:fld id="{F56793FD-39E4-408A-9B17-8D0D6584FCD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A7EB-4767-897F-6E41DE5342A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AF323747-02C8-4CF9-B2B8-29DD34929B7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A7EB-4767-897F-6E41DE5342AE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324E186E-5E41-4558-BBC5-E1FE3D35D7F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A7EB-4767-897F-6E41DE5342AE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5F1AFEF8-D274-423D-B21D-05A04C3A59A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A7EB-4767-897F-6E41DE5342AE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3C0D1910-8C4A-49B2-BA6D-070DB29EB9E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A7EB-4767-897F-6E41DE5342AE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09E8B1B7-607F-40F9-9EE9-74494DA0E9C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A7EB-4767-897F-6E41DE5342AE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D02FBAFF-1F36-4774-A440-C1D2D1A513C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A7EB-4767-897F-6E41DE5342AE}"/>
                </c:ext>
              </c:extLst>
            </c:dLbl>
            <c:dLbl>
              <c:idx val="9"/>
              <c:layout>
                <c:manualLayout>
                  <c:x val="-1.6124417870425702E-2"/>
                  <c:y val="-7.9555432891731281E-2"/>
                </c:manualLayout>
              </c:layout>
              <c:tx>
                <c:rich>
                  <a:bodyPr/>
                  <a:lstStyle/>
                  <a:p>
                    <a:fld id="{F9473B68-23CD-4DCB-B774-3FC25B6D1E8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B888-4221-8C18-63F9975668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tx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-3.5575705733624681E-2"/>
                  <c:y val="-8.7746303104114506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/>
                      <a:t>y = 0.0193x</a:t>
                    </a:r>
                    <a:br>
                      <a:rPr lang="en-US" baseline="0"/>
                    </a:br>
                    <a:r>
                      <a:rPr lang="en-US" baseline="0"/>
                      <a:t>R² = 0.963</a:t>
                    </a:r>
                    <a:endParaRPr lang="en-US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ROIC!$V$3:$V$12</c:f>
              <c:numCache>
                <c:formatCode>0.0\x</c:formatCode>
                <c:ptCount val="10"/>
                <c:pt idx="0">
                  <c:v>14.218947475161482</c:v>
                </c:pt>
                <c:pt idx="2">
                  <c:v>9.0287165510713709</c:v>
                </c:pt>
                <c:pt idx="3">
                  <c:v>15.176359053560375</c:v>
                </c:pt>
                <c:pt idx="4">
                  <c:v>14.984951870086254</c:v>
                </c:pt>
                <c:pt idx="5">
                  <c:v>9.0481279231057901</c:v>
                </c:pt>
                <c:pt idx="6">
                  <c:v>8.849171959729718</c:v>
                </c:pt>
                <c:pt idx="7">
                  <c:v>19.695476499436268</c:v>
                </c:pt>
                <c:pt idx="8">
                  <c:v>12.290605765890936</c:v>
                </c:pt>
                <c:pt idx="9">
                  <c:v>11.489612711964636</c:v>
                </c:pt>
              </c:numCache>
            </c:numRef>
          </c:xVal>
          <c:yVal>
            <c:numRef>
              <c:f>ROIC!$W$3:$W$12</c:f>
              <c:numCache>
                <c:formatCode>0.0%</c:formatCode>
                <c:ptCount val="10"/>
                <c:pt idx="0">
                  <c:v>0.31388888888888888</c:v>
                </c:pt>
                <c:pt idx="2">
                  <c:v>0.20346824759363139</c:v>
                </c:pt>
                <c:pt idx="3">
                  <c:v>0.81202399380804979</c:v>
                </c:pt>
                <c:pt idx="4">
                  <c:v>0.19847227080224564</c:v>
                </c:pt>
                <c:pt idx="5">
                  <c:v>0.20840803947774242</c:v>
                </c:pt>
                <c:pt idx="6">
                  <c:v>0.13371262898862046</c:v>
                </c:pt>
                <c:pt idx="7">
                  <c:v>0.4579869813845967</c:v>
                </c:pt>
                <c:pt idx="8">
                  <c:v>0.26612799583188607</c:v>
                </c:pt>
                <c:pt idx="9">
                  <c:v>0.28777439024390239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ROIC!$C$3:$C$12</c15:f>
                <c15:dlblRangeCache>
                  <c:ptCount val="10"/>
                  <c:pt idx="0">
                    <c:v>Howmet</c:v>
                  </c:pt>
                  <c:pt idx="2">
                    <c:v>Ametek</c:v>
                  </c:pt>
                  <c:pt idx="3">
                    <c:v>Amphenol</c:v>
                  </c:pt>
                  <c:pt idx="4">
                    <c:v>Heico</c:v>
                  </c:pt>
                  <c:pt idx="5">
                    <c:v>IDEX</c:v>
                  </c:pt>
                  <c:pt idx="6">
                    <c:v>Roper</c:v>
                  </c:pt>
                  <c:pt idx="7">
                    <c:v>Vertiv</c:v>
                  </c:pt>
                  <c:pt idx="8">
                    <c:v>Eaton</c:v>
                  </c:pt>
                  <c:pt idx="9">
                    <c:v>Transdigm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1-A7EB-4767-897F-6E41DE5342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0059599"/>
        <c:axId val="100058159"/>
      </c:scatterChart>
      <c:valAx>
        <c:axId val="10005959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EV / IC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\x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058159"/>
        <c:crosses val="autoZero"/>
        <c:crossBetween val="midCat"/>
      </c:valAx>
      <c:valAx>
        <c:axId val="10005815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ROIC</a:t>
                </a:r>
                <a:r>
                  <a:rPr lang="en-US" baseline="0"/>
                  <a:t> - WACC (Exces Returns)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059599"/>
        <c:crosses val="autoZero"/>
        <c:crossBetween val="midCat"/>
        <c:majorUnit val="0.1"/>
        <c:minorUnit val="2.5000000000000005E-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ROIC!$AC$2</c:f>
              <c:strCache>
                <c:ptCount val="1"/>
                <c:pt idx="0">
                  <c:v>'24E GP Margin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ROIC!$B$3:$B$12</c:f>
              <c:strCache>
                <c:ptCount val="10"/>
                <c:pt idx="0">
                  <c:v>HWM</c:v>
                </c:pt>
                <c:pt idx="2">
                  <c:v>AME</c:v>
                </c:pt>
                <c:pt idx="3">
                  <c:v>APH</c:v>
                </c:pt>
                <c:pt idx="4">
                  <c:v>HEI</c:v>
                </c:pt>
                <c:pt idx="5">
                  <c:v>IEX</c:v>
                </c:pt>
                <c:pt idx="6">
                  <c:v>ROP</c:v>
                </c:pt>
                <c:pt idx="7">
                  <c:v>VRT</c:v>
                </c:pt>
                <c:pt idx="8">
                  <c:v>ETN</c:v>
                </c:pt>
                <c:pt idx="9">
                  <c:v>TDG</c:v>
                </c:pt>
              </c:strCache>
            </c:strRef>
          </c:cat>
          <c:val>
            <c:numRef>
              <c:f>ROIC!$AC$3:$AC$12</c:f>
              <c:numCache>
                <c:formatCode>General</c:formatCode>
                <c:ptCount val="10"/>
                <c:pt idx="0" formatCode="0%">
                  <c:v>0.31028440490632159</c:v>
                </c:pt>
                <c:pt idx="2" formatCode="0%">
                  <c:v>0.35636933599316045</c:v>
                </c:pt>
                <c:pt idx="3" formatCode="0%">
                  <c:v>0.33653974615898463</c:v>
                </c:pt>
                <c:pt idx="4" formatCode="0%">
                  <c:v>0.38932089165370659</c:v>
                </c:pt>
                <c:pt idx="5" formatCode="0%">
                  <c:v>0.44675007628928898</c:v>
                </c:pt>
                <c:pt idx="6" formatCode="0%">
                  <c:v>0.69657142857142862</c:v>
                </c:pt>
                <c:pt idx="7" formatCode="0%">
                  <c:v>0.36909486621431314</c:v>
                </c:pt>
                <c:pt idx="8" formatCode="0%">
                  <c:v>0.37669290080300427</c:v>
                </c:pt>
                <c:pt idx="9" formatCode="0%">
                  <c:v>0.58841309823677579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54-41B9-B6CF-D40C229FE941}"/>
            </c:ext>
          </c:extLst>
        </c:ser>
        <c:ser>
          <c:idx val="1"/>
          <c:order val="1"/>
          <c:tx>
            <c:strRef>
              <c:f>ROIC!$AD$2</c:f>
              <c:strCache>
                <c:ptCount val="1"/>
                <c:pt idx="0">
                  <c:v>'24E EBITDA Margin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ROIC!$B$3:$B$12</c:f>
              <c:strCache>
                <c:ptCount val="10"/>
                <c:pt idx="0">
                  <c:v>HWM</c:v>
                </c:pt>
                <c:pt idx="2">
                  <c:v>AME</c:v>
                </c:pt>
                <c:pt idx="3">
                  <c:v>APH</c:v>
                </c:pt>
                <c:pt idx="4">
                  <c:v>HEI</c:v>
                </c:pt>
                <c:pt idx="5">
                  <c:v>IEX</c:v>
                </c:pt>
                <c:pt idx="6">
                  <c:v>ROP</c:v>
                </c:pt>
                <c:pt idx="7">
                  <c:v>VRT</c:v>
                </c:pt>
                <c:pt idx="8">
                  <c:v>ETN</c:v>
                </c:pt>
                <c:pt idx="9">
                  <c:v>TDG</c:v>
                </c:pt>
              </c:strCache>
            </c:strRef>
          </c:cat>
          <c:val>
            <c:numRef>
              <c:f>ROIC!$AD$3:$AD$12</c:f>
              <c:numCache>
                <c:formatCode>General</c:formatCode>
                <c:ptCount val="10"/>
                <c:pt idx="0" formatCode="0%">
                  <c:v>0.25609920474457476</c:v>
                </c:pt>
                <c:pt idx="2" formatCode="0%">
                  <c:v>0.31205471644343119</c:v>
                </c:pt>
                <c:pt idx="3" formatCode="0%">
                  <c:v>0.25611222444889781</c:v>
                </c:pt>
                <c:pt idx="4" formatCode="0%">
                  <c:v>0.28823224468636599</c:v>
                </c:pt>
                <c:pt idx="5" formatCode="0%">
                  <c:v>0.27036924015868175</c:v>
                </c:pt>
                <c:pt idx="6" formatCode="0%">
                  <c:v>0.40600000000000003</c:v>
                </c:pt>
                <c:pt idx="7" formatCode="0%">
                  <c:v>0.20163871463320956</c:v>
                </c:pt>
                <c:pt idx="8" formatCode="0%">
                  <c:v>0.23211218089568936</c:v>
                </c:pt>
                <c:pt idx="9" formatCode="0%">
                  <c:v>0.52556675062972291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554-41B9-B6CF-D40C229FE941}"/>
            </c:ext>
          </c:extLst>
        </c:ser>
        <c:ser>
          <c:idx val="2"/>
          <c:order val="2"/>
          <c:tx>
            <c:strRef>
              <c:f>ROIC!$AE$2</c:f>
              <c:strCache>
                <c:ptCount val="1"/>
                <c:pt idx="0">
                  <c:v>'27E GP Margin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ROIC!$B$3:$B$12</c:f>
              <c:strCache>
                <c:ptCount val="10"/>
                <c:pt idx="0">
                  <c:v>HWM</c:v>
                </c:pt>
                <c:pt idx="2">
                  <c:v>AME</c:v>
                </c:pt>
                <c:pt idx="3">
                  <c:v>APH</c:v>
                </c:pt>
                <c:pt idx="4">
                  <c:v>HEI</c:v>
                </c:pt>
                <c:pt idx="5">
                  <c:v>IEX</c:v>
                </c:pt>
                <c:pt idx="6">
                  <c:v>ROP</c:v>
                </c:pt>
                <c:pt idx="7">
                  <c:v>VRT</c:v>
                </c:pt>
                <c:pt idx="8">
                  <c:v>ETN</c:v>
                </c:pt>
                <c:pt idx="9">
                  <c:v>TDG</c:v>
                </c:pt>
              </c:strCache>
            </c:strRef>
          </c:cat>
          <c:val>
            <c:numRef>
              <c:f>ROIC!$AE$3:$AE$12</c:f>
              <c:numCache>
                <c:formatCode>General</c:formatCode>
                <c:ptCount val="10"/>
                <c:pt idx="0" formatCode="0%">
                  <c:v>0.36027621523614728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554-41B9-B6CF-D40C229FE941}"/>
            </c:ext>
          </c:extLst>
        </c:ser>
        <c:ser>
          <c:idx val="3"/>
          <c:order val="3"/>
          <c:tx>
            <c:strRef>
              <c:f>ROIC!$AF$2</c:f>
              <c:strCache>
                <c:ptCount val="1"/>
                <c:pt idx="0">
                  <c:v>'27E EBITDA Margin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ROIC!$B$3:$B$12</c:f>
              <c:strCache>
                <c:ptCount val="10"/>
                <c:pt idx="0">
                  <c:v>HWM</c:v>
                </c:pt>
                <c:pt idx="2">
                  <c:v>AME</c:v>
                </c:pt>
                <c:pt idx="3">
                  <c:v>APH</c:v>
                </c:pt>
                <c:pt idx="4">
                  <c:v>HEI</c:v>
                </c:pt>
                <c:pt idx="5">
                  <c:v>IEX</c:v>
                </c:pt>
                <c:pt idx="6">
                  <c:v>ROP</c:v>
                </c:pt>
                <c:pt idx="7">
                  <c:v>VRT</c:v>
                </c:pt>
                <c:pt idx="8">
                  <c:v>ETN</c:v>
                </c:pt>
                <c:pt idx="9">
                  <c:v>TDG</c:v>
                </c:pt>
              </c:strCache>
            </c:strRef>
          </c:cat>
          <c:val>
            <c:numRef>
              <c:f>ROIC!$AF$3:$AF$12</c:f>
              <c:numCache>
                <c:formatCode>General</c:formatCode>
                <c:ptCount val="10"/>
                <c:pt idx="0" formatCode="0%">
                  <c:v>0.30905005719800005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554-41B9-B6CF-D40C229FE94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9"/>
        <c:overlap val="-23"/>
        <c:axId val="881253456"/>
        <c:axId val="881244816"/>
      </c:barChart>
      <c:catAx>
        <c:axId val="881253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1244816"/>
        <c:crosses val="autoZero"/>
        <c:auto val="1"/>
        <c:lblAlgn val="ctr"/>
        <c:lblOffset val="100"/>
        <c:noMultiLvlLbl val="0"/>
      </c:catAx>
      <c:valAx>
        <c:axId val="881244816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881253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818-47B5-8753-832DC74EA9F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ROIC!$B$3:$B$12</c:f>
              <c:strCache>
                <c:ptCount val="10"/>
                <c:pt idx="0">
                  <c:v>HWM</c:v>
                </c:pt>
                <c:pt idx="2">
                  <c:v>AME</c:v>
                </c:pt>
                <c:pt idx="3">
                  <c:v>APH</c:v>
                </c:pt>
                <c:pt idx="4">
                  <c:v>HEI</c:v>
                </c:pt>
                <c:pt idx="5">
                  <c:v>IEX</c:v>
                </c:pt>
                <c:pt idx="6">
                  <c:v>ROP</c:v>
                </c:pt>
                <c:pt idx="7">
                  <c:v>VRT</c:v>
                </c:pt>
                <c:pt idx="8">
                  <c:v>ETN</c:v>
                </c:pt>
                <c:pt idx="9">
                  <c:v>TDG</c:v>
                </c:pt>
              </c:strCache>
            </c:strRef>
          </c:cat>
          <c:val>
            <c:numRef>
              <c:f>ROIC!$S$3:$S$12</c:f>
              <c:numCache>
                <c:formatCode>0%</c:formatCode>
                <c:ptCount val="10"/>
                <c:pt idx="0">
                  <c:v>0.40888888888888891</c:v>
                </c:pt>
                <c:pt idx="2">
                  <c:v>0.29846824759363139</c:v>
                </c:pt>
                <c:pt idx="3">
                  <c:v>0.90702399380804977</c:v>
                </c:pt>
                <c:pt idx="4">
                  <c:v>0.29347227080224564</c:v>
                </c:pt>
                <c:pt idx="5">
                  <c:v>0.30340803947774242</c:v>
                </c:pt>
                <c:pt idx="6">
                  <c:v>0.22871262898862046</c:v>
                </c:pt>
                <c:pt idx="7">
                  <c:v>0.55298698138459668</c:v>
                </c:pt>
                <c:pt idx="8">
                  <c:v>0.36112799583188609</c:v>
                </c:pt>
                <c:pt idx="9">
                  <c:v>0.38277439024390242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18-47B5-8753-832DC74EA9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122827776"/>
        <c:axId val="1122828256"/>
      </c:barChart>
      <c:catAx>
        <c:axId val="11228277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122828256"/>
        <c:crosses val="autoZero"/>
        <c:auto val="1"/>
        <c:lblAlgn val="ctr"/>
        <c:lblOffset val="100"/>
        <c:noMultiLvlLbl val="0"/>
      </c:catAx>
      <c:valAx>
        <c:axId val="1122828256"/>
        <c:scaling>
          <c:orientation val="minMax"/>
        </c:scaling>
        <c:delete val="0"/>
        <c:axPos val="b"/>
        <c:numFmt formatCode="0%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122827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'Capitalized Earnings'!$B$36</c:f>
              <c:strCache>
                <c:ptCount val="1"/>
                <c:pt idx="0">
                  <c:v>Implied Future Value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'Capitalized Earnings'!$C$2:$M$2</c:f>
              <c:strCache>
                <c:ptCount val="11"/>
                <c:pt idx="0">
                  <c:v>HWM</c:v>
                </c:pt>
                <c:pt idx="2">
                  <c:v>AME</c:v>
                </c:pt>
                <c:pt idx="3">
                  <c:v>APH</c:v>
                </c:pt>
                <c:pt idx="4">
                  <c:v>GEV</c:v>
                </c:pt>
                <c:pt idx="5">
                  <c:v>ETN</c:v>
                </c:pt>
                <c:pt idx="6">
                  <c:v>TDG</c:v>
                </c:pt>
                <c:pt idx="7">
                  <c:v>HEI</c:v>
                </c:pt>
                <c:pt idx="8">
                  <c:v>IEX</c:v>
                </c:pt>
                <c:pt idx="9">
                  <c:v>ROP</c:v>
                </c:pt>
                <c:pt idx="10">
                  <c:v>VRT</c:v>
                </c:pt>
              </c:strCache>
            </c:strRef>
          </c:cat>
          <c:val>
            <c:numRef>
              <c:f>'Capitalized Earnings'!$C$36:$M$36</c:f>
              <c:numCache>
                <c:formatCode>0%</c:formatCode>
                <c:ptCount val="11"/>
                <c:pt idx="0">
                  <c:v>0.73000735729575728</c:v>
                </c:pt>
                <c:pt idx="2" formatCode="0.0%">
                  <c:v>0.61538976359834596</c:v>
                </c:pt>
                <c:pt idx="3" formatCode="0.0%">
                  <c:v>0.41802854966736114</c:v>
                </c:pt>
                <c:pt idx="4" formatCode="0.0%">
                  <c:v>0.99663422568428228</c:v>
                </c:pt>
                <c:pt idx="5" formatCode="0.0%">
                  <c:v>0.70362847513812277</c:v>
                </c:pt>
                <c:pt idx="6" formatCode="0.0%">
                  <c:v>0.67349721454199174</c:v>
                </c:pt>
                <c:pt idx="7" formatCode="0.0%">
                  <c:v>0.81343327691563017</c:v>
                </c:pt>
                <c:pt idx="8" formatCode="0.0%">
                  <c:v>0.58261269954990436</c:v>
                </c:pt>
                <c:pt idx="9" formatCode="0.0%">
                  <c:v>0.72237785708024371</c:v>
                </c:pt>
                <c:pt idx="10" formatCode="0.0%">
                  <c:v>0.7891114373317063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72-4A3E-A7B0-95CEC52AC1AA}"/>
            </c:ext>
          </c:extLst>
        </c:ser>
        <c:ser>
          <c:idx val="1"/>
          <c:order val="1"/>
          <c:tx>
            <c:strRef>
              <c:f>'Capitalized Earnings'!$B$37</c:f>
              <c:strCache>
                <c:ptCount val="1"/>
                <c:pt idx="0">
                  <c:v>Capitalized 2023A NOPAT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'Capitalized Earnings'!$C$2:$M$2</c:f>
              <c:strCache>
                <c:ptCount val="11"/>
                <c:pt idx="0">
                  <c:v>HWM</c:v>
                </c:pt>
                <c:pt idx="2">
                  <c:v>AME</c:v>
                </c:pt>
                <c:pt idx="3">
                  <c:v>APH</c:v>
                </c:pt>
                <c:pt idx="4">
                  <c:v>GEV</c:v>
                </c:pt>
                <c:pt idx="5">
                  <c:v>ETN</c:v>
                </c:pt>
                <c:pt idx="6">
                  <c:v>TDG</c:v>
                </c:pt>
                <c:pt idx="7">
                  <c:v>HEI</c:v>
                </c:pt>
                <c:pt idx="8">
                  <c:v>IEX</c:v>
                </c:pt>
                <c:pt idx="9">
                  <c:v>ROP</c:v>
                </c:pt>
                <c:pt idx="10">
                  <c:v>VRT</c:v>
                </c:pt>
              </c:strCache>
            </c:strRef>
          </c:cat>
          <c:val>
            <c:numRef>
              <c:f>'Capitalized Earnings'!$C$37:$M$37</c:f>
              <c:numCache>
                <c:formatCode>0%</c:formatCode>
                <c:ptCount val="11"/>
                <c:pt idx="0">
                  <c:v>0.19741387671366795</c:v>
                </c:pt>
                <c:pt idx="2" formatCode="0.0%">
                  <c:v>0.30213324774328215</c:v>
                </c:pt>
                <c:pt idx="3" formatCode="0.0%">
                  <c:v>0.43517734838415462</c:v>
                </c:pt>
                <c:pt idx="4" formatCode="0.0%">
                  <c:v>-3.9377973857400689E-2</c:v>
                </c:pt>
                <c:pt idx="5" formatCode="0.0%">
                  <c:v>0.2228887727788198</c:v>
                </c:pt>
                <c:pt idx="6" formatCode="0.0%">
                  <c:v>0.24493296013749061</c:v>
                </c:pt>
                <c:pt idx="7" formatCode="0.0%">
                  <c:v>0.13809771364832146</c:v>
                </c:pt>
                <c:pt idx="8" formatCode="0.0%">
                  <c:v>0.33324130633651683</c:v>
                </c:pt>
                <c:pt idx="9" formatCode="0.0%">
                  <c:v>0.21298996598624162</c:v>
                </c:pt>
                <c:pt idx="10" formatCode="0.0%">
                  <c:v>0.14192051365316152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F72-4A3E-A7B0-95CEC52AC1AA}"/>
            </c:ext>
          </c:extLst>
        </c:ser>
        <c:ser>
          <c:idx val="2"/>
          <c:order val="2"/>
          <c:tx>
            <c:strRef>
              <c:f>'Capitalized Earnings'!$B$38</c:f>
              <c:strCache>
                <c:ptCount val="1"/>
                <c:pt idx="0">
                  <c:v>PV of 2024 -2026E NOPAT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'Capitalized Earnings'!$C$2:$M$2</c:f>
              <c:strCache>
                <c:ptCount val="11"/>
                <c:pt idx="0">
                  <c:v>HWM</c:v>
                </c:pt>
                <c:pt idx="2">
                  <c:v>AME</c:v>
                </c:pt>
                <c:pt idx="3">
                  <c:v>APH</c:v>
                </c:pt>
                <c:pt idx="4">
                  <c:v>GEV</c:v>
                </c:pt>
                <c:pt idx="5">
                  <c:v>ETN</c:v>
                </c:pt>
                <c:pt idx="6">
                  <c:v>TDG</c:v>
                </c:pt>
                <c:pt idx="7">
                  <c:v>HEI</c:v>
                </c:pt>
                <c:pt idx="8">
                  <c:v>IEX</c:v>
                </c:pt>
                <c:pt idx="9">
                  <c:v>ROP</c:v>
                </c:pt>
                <c:pt idx="10">
                  <c:v>VRT</c:v>
                </c:pt>
              </c:strCache>
            </c:strRef>
          </c:cat>
          <c:val>
            <c:numRef>
              <c:f>'Capitalized Earnings'!$C$38:$M$38</c:f>
              <c:numCache>
                <c:formatCode>0%</c:formatCode>
                <c:ptCount val="11"/>
                <c:pt idx="0">
                  <c:v>7.2578765990574889E-2</c:v>
                </c:pt>
                <c:pt idx="2" formatCode="0.0%">
                  <c:v>8.247698865837183E-2</c:v>
                </c:pt>
                <c:pt idx="3" formatCode="0.0%">
                  <c:v>0.14679410194848422</c:v>
                </c:pt>
                <c:pt idx="4" formatCode="0.0%">
                  <c:v>4.2743748173118407E-2</c:v>
                </c:pt>
                <c:pt idx="5" formatCode="0.0%">
                  <c:v>7.3482752083057462E-2</c:v>
                </c:pt>
                <c:pt idx="6" formatCode="0.0%">
                  <c:v>8.1569825320517653E-2</c:v>
                </c:pt>
                <c:pt idx="7" formatCode="0.0%">
                  <c:v>4.8469009436048378E-2</c:v>
                </c:pt>
                <c:pt idx="8" formatCode="0.0%">
                  <c:v>8.4145994113578856E-2</c:v>
                </c:pt>
                <c:pt idx="9" formatCode="0.0%">
                  <c:v>6.4632176933514682E-2</c:v>
                </c:pt>
                <c:pt idx="10" formatCode="0.0%">
                  <c:v>6.8968049015132316E-2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F72-4A3E-A7B0-95CEC52AC1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0"/>
        <c:overlap val="100"/>
        <c:axId val="1919666624"/>
        <c:axId val="1919669984"/>
      </c:barChart>
      <c:catAx>
        <c:axId val="1919666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9669984"/>
        <c:crosses val="autoZero"/>
        <c:auto val="1"/>
        <c:lblAlgn val="ctr"/>
        <c:lblOffset val="300"/>
        <c:noMultiLvlLbl val="0"/>
      </c:catAx>
      <c:valAx>
        <c:axId val="1919669984"/>
        <c:scaling>
          <c:orientation val="minMax"/>
        </c:scaling>
        <c:delete val="0"/>
        <c:axPos val="l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96666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'Energy Costs'!$N$6</c:f>
              <c:strCache>
                <c:ptCount val="1"/>
                <c:pt idx="0">
                  <c:v>Turbine - industrial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'Energy Costs'!$O$5</c:f>
              <c:strCache>
                <c:ptCount val="1"/>
                <c:pt idx="0">
                  <c:v>Cost per kW</c:v>
                </c:pt>
              </c:strCache>
            </c:strRef>
          </c:cat>
          <c:val>
            <c:numRef>
              <c:f>'Energy Costs'!$O$6</c:f>
              <c:numCache>
                <c:formatCode>_("$"* #,##0_);_("$"* \(#,##0\);_("$"* "-"??_);_(@_)</c:formatCode>
                <c:ptCount val="1"/>
                <c:pt idx="0">
                  <c:v>785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3F-443E-895D-4F40A1E8D61D}"/>
            </c:ext>
          </c:extLst>
        </c:ser>
        <c:ser>
          <c:idx val="1"/>
          <c:order val="1"/>
          <c:tx>
            <c:strRef>
              <c:f>'Energy Costs'!$N$7</c:f>
              <c:strCache>
                <c:ptCount val="1"/>
                <c:pt idx="0">
                  <c:v>Turbine - aeroderivative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'Energy Costs'!$O$5</c:f>
              <c:strCache>
                <c:ptCount val="1"/>
                <c:pt idx="0">
                  <c:v>Cost per kW</c:v>
                </c:pt>
              </c:strCache>
            </c:strRef>
          </c:cat>
          <c:val>
            <c:numRef>
              <c:f>'Energy Costs'!$O$7</c:f>
              <c:numCache>
                <c:formatCode>_("$"* #,##0_);_("$"* \(#,##0\);_("$"* "-"??_);_(@_)</c:formatCode>
                <c:ptCount val="1"/>
                <c:pt idx="0">
                  <c:v>1294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13F-443E-895D-4F40A1E8D61D}"/>
            </c:ext>
          </c:extLst>
        </c:ser>
        <c:ser>
          <c:idx val="2"/>
          <c:order val="2"/>
          <c:tx>
            <c:strRef>
              <c:f>'Energy Costs'!$N$8</c:f>
              <c:strCache>
                <c:ptCount val="1"/>
                <c:pt idx="0">
                  <c:v>Wind power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'Energy Costs'!$O$5</c:f>
              <c:strCache>
                <c:ptCount val="1"/>
                <c:pt idx="0">
                  <c:v>Cost per kW</c:v>
                </c:pt>
              </c:strCache>
            </c:strRef>
          </c:cat>
          <c:val>
            <c:numRef>
              <c:f>'Energy Costs'!$O$8</c:f>
              <c:numCache>
                <c:formatCode>_("$"* #,##0_);_("$"* \(#,##0\);_("$"* "-"??_);_(@_)</c:formatCode>
                <c:ptCount val="1"/>
                <c:pt idx="0">
                  <c:v>1718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13F-443E-895D-4F40A1E8D61D}"/>
            </c:ext>
          </c:extLst>
        </c:ser>
        <c:ser>
          <c:idx val="3"/>
          <c:order val="3"/>
          <c:tx>
            <c:strRef>
              <c:f>'Energy Costs'!$N$9</c:f>
              <c:strCache>
                <c:ptCount val="1"/>
                <c:pt idx="0">
                  <c:v>Solar photovoltaic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'Energy Costs'!$O$5</c:f>
              <c:strCache>
                <c:ptCount val="1"/>
                <c:pt idx="0">
                  <c:v>Cost per kW</c:v>
                </c:pt>
              </c:strCache>
            </c:strRef>
          </c:cat>
          <c:val>
            <c:numRef>
              <c:f>'Energy Costs'!$O$9</c:f>
              <c:numCache>
                <c:formatCode>_("$"* #,##0_);_("$"* \(#,##0\);_("$"* "-"??_);_(@_)</c:formatCode>
                <c:ptCount val="1"/>
                <c:pt idx="0">
                  <c:v>1327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13F-443E-895D-4F40A1E8D61D}"/>
            </c:ext>
          </c:extLst>
        </c:ser>
        <c:ser>
          <c:idx val="4"/>
          <c:order val="4"/>
          <c:tx>
            <c:strRef>
              <c:f>'Energy Costs'!$N$10</c:f>
              <c:strCache>
                <c:ptCount val="1"/>
                <c:pt idx="0">
                  <c:v>Solar PV with storage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'Energy Costs'!$O$5</c:f>
              <c:strCache>
                <c:ptCount val="1"/>
                <c:pt idx="0">
                  <c:v>Cost per kW</c:v>
                </c:pt>
              </c:strCache>
            </c:strRef>
          </c:cat>
          <c:val>
            <c:numRef>
              <c:f>'Energy Costs'!$O$10</c:f>
              <c:numCache>
                <c:formatCode>_("$"* #,##0_);_("$"* \(#,##0\);_("$"* "-"??_);_(@_)</c:formatCode>
                <c:ptCount val="1"/>
                <c:pt idx="0">
                  <c:v>1748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13F-443E-895D-4F40A1E8D61D}"/>
            </c:ext>
          </c:extLst>
        </c:ser>
        <c:ser>
          <c:idx val="5"/>
          <c:order val="5"/>
          <c:tx>
            <c:strRef>
              <c:f>'Energy Costs'!$N$11</c:f>
              <c:strCache>
                <c:ptCount val="1"/>
                <c:pt idx="0">
                  <c:v>Nuclear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'Energy Costs'!$O$5</c:f>
              <c:strCache>
                <c:ptCount val="1"/>
                <c:pt idx="0">
                  <c:v>Cost per kW</c:v>
                </c:pt>
              </c:strCache>
            </c:strRef>
          </c:cat>
          <c:val>
            <c:numRef>
              <c:f>'Energy Costs'!$O$11</c:f>
              <c:numCache>
                <c:formatCode>_("$"* #,##0_);_("$"* \(#,##0\);_("$"* "-"??_);_(@_)</c:formatCode>
                <c:ptCount val="1"/>
                <c:pt idx="0">
                  <c:v>7121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13F-443E-895D-4F40A1E8D61D}"/>
            </c:ext>
          </c:extLst>
        </c:ser>
        <c:ser>
          <c:idx val="6"/>
          <c:order val="6"/>
          <c:tx>
            <c:strRef>
              <c:f>'Energy Costs'!$N$12</c:f>
              <c:strCache>
                <c:ptCount val="1"/>
                <c:pt idx="0">
                  <c:v>Battery Storage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'Energy Costs'!$O$5</c:f>
              <c:strCache>
                <c:ptCount val="1"/>
                <c:pt idx="0">
                  <c:v>Cost per kW</c:v>
                </c:pt>
              </c:strCache>
            </c:strRef>
          </c:cat>
          <c:val>
            <c:numRef>
              <c:f>'Energy Costs'!$O$12</c:f>
              <c:numCache>
                <c:formatCode>_("$"* #,##0_);_("$"* \(#,##0\);_("$"* "-"??_);_(@_)</c:formatCode>
                <c:ptCount val="1"/>
                <c:pt idx="0">
                  <c:v>1316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13F-443E-895D-4F40A1E8D61D}"/>
            </c:ext>
          </c:extLst>
        </c:ser>
        <c:ser>
          <c:idx val="7"/>
          <c:order val="7"/>
          <c:tx>
            <c:strRef>
              <c:f>'Energy Costs'!$N$13</c:f>
              <c:strCache>
                <c:ptCount val="1"/>
                <c:pt idx="0">
                  <c:v>Fuel Cells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'Energy Costs'!$O$5</c:f>
              <c:strCache>
                <c:ptCount val="1"/>
                <c:pt idx="0">
                  <c:v>Cost per kW</c:v>
                </c:pt>
              </c:strCache>
            </c:strRef>
          </c:cat>
          <c:val>
            <c:numRef>
              <c:f>'Energy Costs'!$O$13</c:f>
              <c:numCache>
                <c:formatCode>_("$"* #,##0_);_("$"* \(#,##0\);_("$"* "-"??_);_(@_)</c:formatCode>
                <c:ptCount val="1"/>
                <c:pt idx="0">
                  <c:v>6931.5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13F-443E-895D-4F40A1E8D61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604813279"/>
        <c:axId val="1058586992"/>
      </c:barChart>
      <c:catAx>
        <c:axId val="16048132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8586992"/>
        <c:crosses val="autoZero"/>
        <c:auto val="1"/>
        <c:lblAlgn val="ctr"/>
        <c:lblOffset val="100"/>
        <c:noMultiLvlLbl val="0"/>
      </c:catAx>
      <c:valAx>
        <c:axId val="1058586992"/>
        <c:scaling>
          <c:orientation val="minMax"/>
        </c:scaling>
        <c:delete val="0"/>
        <c:axPos val="l"/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048132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606797</xdr:colOff>
      <xdr:row>28</xdr:row>
      <xdr:rowOff>18676</xdr:rowOff>
    </xdr:from>
    <xdr:to>
      <xdr:col>24</xdr:col>
      <xdr:colOff>130735</xdr:colOff>
      <xdr:row>42</xdr:row>
      <xdr:rowOff>93382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540CA92-E52E-4CA3-98AC-531A57E667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0</xdr:colOff>
      <xdr:row>45</xdr:row>
      <xdr:rowOff>0</xdr:rowOff>
    </xdr:from>
    <xdr:to>
      <xdr:col>22</xdr:col>
      <xdr:colOff>301803</xdr:colOff>
      <xdr:row>60</xdr:row>
      <xdr:rowOff>14127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16EF95C-7894-461D-8CE6-EF4D0AB31D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517939</xdr:colOff>
      <xdr:row>8</xdr:row>
      <xdr:rowOff>31463</xdr:rowOff>
    </xdr:from>
    <xdr:to>
      <xdr:col>26</xdr:col>
      <xdr:colOff>235404</xdr:colOff>
      <xdr:row>22</xdr:row>
      <xdr:rowOff>145739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34E6A54-6FAF-6391-B2A2-4F8910F000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565315</xdr:colOff>
      <xdr:row>28</xdr:row>
      <xdr:rowOff>74221</xdr:rowOff>
    </xdr:from>
    <xdr:to>
      <xdr:col>22</xdr:col>
      <xdr:colOff>235034</xdr:colOff>
      <xdr:row>45</xdr:row>
      <xdr:rowOff>146957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262AEE4-D9BD-631E-D25E-B944028693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247650</xdr:colOff>
      <xdr:row>0</xdr:row>
      <xdr:rowOff>76200</xdr:rowOff>
    </xdr:from>
    <xdr:to>
      <xdr:col>28</xdr:col>
      <xdr:colOff>487084</xdr:colOff>
      <xdr:row>34</xdr:row>
      <xdr:rowOff>11652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B3FB984-E03C-674A-8818-191E4DC98F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01425" y="76200"/>
          <a:ext cx="9383434" cy="548716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29136</xdr:colOff>
      <xdr:row>13</xdr:row>
      <xdr:rowOff>131805</xdr:rowOff>
    </xdr:from>
    <xdr:to>
      <xdr:col>23</xdr:col>
      <xdr:colOff>333191</xdr:colOff>
      <xdr:row>27</xdr:row>
      <xdr:rowOff>136691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5461B0-4EB4-4D9A-AA21-E929730939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180832</xdr:colOff>
      <xdr:row>14</xdr:row>
      <xdr:rowOff>13795</xdr:rowOff>
    </xdr:from>
    <xdr:to>
      <xdr:col>40</xdr:col>
      <xdr:colOff>145791</xdr:colOff>
      <xdr:row>28</xdr:row>
      <xdr:rowOff>98856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42CF923-0689-BD81-0EDF-69E463BC69C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591214</xdr:colOff>
      <xdr:row>13</xdr:row>
      <xdr:rowOff>122838</xdr:rowOff>
    </xdr:from>
    <xdr:to>
      <xdr:col>12</xdr:col>
      <xdr:colOff>170801</xdr:colOff>
      <xdr:row>39</xdr:row>
      <xdr:rowOff>76637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806B443-2C6B-9BFB-41D5-000591DD8F1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361372</xdr:colOff>
      <xdr:row>4</xdr:row>
      <xdr:rowOff>148408</xdr:rowOff>
    </xdr:from>
    <xdr:to>
      <xdr:col>27</xdr:col>
      <xdr:colOff>288635</xdr:colOff>
      <xdr:row>29</xdr:row>
      <xdr:rowOff>65522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4DDF36C-6781-4894-A437-26D8878ADC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0</xdr:row>
      <xdr:rowOff>114300</xdr:rowOff>
    </xdr:from>
    <xdr:to>
      <xdr:col>10</xdr:col>
      <xdr:colOff>447675</xdr:colOff>
      <xdr:row>31</xdr:row>
      <xdr:rowOff>175895</xdr:rowOff>
    </xdr:to>
    <xdr:pic>
      <xdr:nvPicPr>
        <xdr:cNvPr id="2" name="Picture 1" descr="A screenshot of a computer&#10;&#10;Description automatically generated">
          <a:extLst>
            <a:ext uri="{FF2B5EF4-FFF2-40B4-BE49-F238E27FC236}">
              <a16:creationId xmlns:a16="http://schemas.microsoft.com/office/drawing/2014/main" id="{82196181-C0A5-C24D-BB11-823C9CEFAB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0075" y="114300"/>
          <a:ext cx="5943600" cy="5967095"/>
        </a:xfrm>
        <a:prstGeom prst="rect">
          <a:avLst/>
        </a:prstGeom>
      </xdr:spPr>
    </xdr:pic>
    <xdr:clientData/>
  </xdr:twoCellAnchor>
  <xdr:twoCellAnchor>
    <xdr:from>
      <xdr:col>12</xdr:col>
      <xdr:colOff>314325</xdr:colOff>
      <xdr:row>16</xdr:row>
      <xdr:rowOff>157162</xdr:rowOff>
    </xdr:from>
    <xdr:to>
      <xdr:col>25</xdr:col>
      <xdr:colOff>114299</xdr:colOff>
      <xdr:row>31</xdr:row>
      <xdr:rowOff>42862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5F33F75-52CC-6A39-8F89-CB90E81CCA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lius-fs1\shared\Research\Aerospace%20&amp;%20Defense\Spingarn%20Initiation\BAH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lius-fs1\shared\Research\Aerospace%20&amp;%20Defense\Spingarn%20Initiation\LDO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lius-fs1\shared\Research\Aerospace%20&amp;%20Defense\Spingarn%20Initiation\CACI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lius-fs1\shared\Research\Aerospace%20&amp;%20Defense\Spingarn%20Initiation\TDG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lius-fs1\shared\Research\Aerospace%20&amp;%20Defense\Spingarn%20Initiation\BA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lius-fs1\shared\Research\Aerospace%20&amp;%20Defense\Spingarn%20Initiation\TXTv2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c26a9230c60c51ab/Desktop/Howmet/Howmet-Patent-Assessment-TSE-Score-1.xlsx" TargetMode="External"/><Relationship Id="rId1" Type="http://schemas.openxmlformats.org/officeDocument/2006/relationships/externalLinkPath" Target="Howmet-Patent-Assessment-TSE-Score-1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Sheet17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FDSCACHE__"/>
      <sheetName val="Summary"/>
      <sheetName val="Main Worksheet"/>
      <sheetName val="Valuation"/>
      <sheetName val="Relative PE"/>
      <sheetName val="PEG Trading History"/>
      <sheetName val="PE Trading History"/>
      <sheetName val="FactSet"/>
      <sheetName val="EV.EBITDA Trading History"/>
      <sheetName val="FCF Yield Trading History"/>
    </sheetNames>
    <sheetDataSet>
      <sheetData sheetId="0"/>
      <sheetData sheetId="1">
        <row r="4">
          <cell r="Z4">
            <v>7463.8410000000003</v>
          </cell>
        </row>
      </sheetData>
      <sheetData sheetId="2">
        <row r="2">
          <cell r="A2"/>
          <cell r="B2"/>
          <cell r="C2"/>
          <cell r="D2"/>
          <cell r="E2"/>
          <cell r="F2" t="str">
            <v>FY 16</v>
          </cell>
          <cell r="G2"/>
          <cell r="H2"/>
          <cell r="I2"/>
          <cell r="J2"/>
          <cell r="K2" t="str">
            <v>FY 17</v>
          </cell>
          <cell r="L2" t="str">
            <v>Q1 18</v>
          </cell>
          <cell r="M2" t="str">
            <v>Q2 18</v>
          </cell>
          <cell r="N2" t="str">
            <v>Q3 18</v>
          </cell>
          <cell r="O2" t="str">
            <v>Q4 18</v>
          </cell>
          <cell r="P2" t="str">
            <v>FY 18</v>
          </cell>
          <cell r="Q2" t="str">
            <v>Q1 19</v>
          </cell>
          <cell r="R2" t="str">
            <v>Q2 19</v>
          </cell>
          <cell r="S2" t="str">
            <v>Q3 19</v>
          </cell>
          <cell r="T2" t="str">
            <v>Q4 19</v>
          </cell>
          <cell r="U2" t="str">
            <v>FY 19</v>
          </cell>
          <cell r="V2" t="str">
            <v>Q1 20</v>
          </cell>
          <cell r="W2" t="str">
            <v>Q2 20</v>
          </cell>
          <cell r="X2" t="str">
            <v>Q3 20</v>
          </cell>
          <cell r="Y2" t="str">
            <v>Q4 20</v>
          </cell>
          <cell r="Z2" t="str">
            <v>FY 20</v>
          </cell>
          <cell r="AA2" t="str">
            <v>Q1 21</v>
          </cell>
          <cell r="AB2" t="str">
            <v>Q2 21</v>
          </cell>
          <cell r="AC2" t="str">
            <v>Q3'21</v>
          </cell>
          <cell r="AD2" t="str">
            <v>Q4'21</v>
          </cell>
          <cell r="AE2" t="str">
            <v>FY 21</v>
          </cell>
          <cell r="AF2" t="str">
            <v>Q1 22</v>
          </cell>
          <cell r="AG2" t="str">
            <v>Q2 22</v>
          </cell>
          <cell r="AH2" t="str">
            <v>Q3'22e</v>
          </cell>
          <cell r="AI2" t="str">
            <v>Q4'22e</v>
          </cell>
          <cell r="AJ2" t="str">
            <v>FY 22e</v>
          </cell>
          <cell r="AK2" t="str">
            <v>Q1 23e</v>
          </cell>
          <cell r="AL2" t="str">
            <v>Q2 23e</v>
          </cell>
          <cell r="AM2" t="str">
            <v>Q3'23e</v>
          </cell>
          <cell r="AN2" t="str">
            <v>Q4'23e</v>
          </cell>
          <cell r="AO2" t="str">
            <v>FY 23e</v>
          </cell>
          <cell r="AP2" t="str">
            <v>Q1 24e</v>
          </cell>
          <cell r="AQ2" t="str">
            <v>Q2 24e</v>
          </cell>
          <cell r="AR2" t="str">
            <v>Q3'24e</v>
          </cell>
          <cell r="AS2" t="str">
            <v>Q4'24e</v>
          </cell>
          <cell r="AT2" t="str">
            <v>FY 24e</v>
          </cell>
          <cell r="AU2" t="str">
            <v>Q1 25e</v>
          </cell>
          <cell r="AV2" t="str">
            <v>Q2 25e</v>
          </cell>
          <cell r="AW2" t="str">
            <v>Q3'25e</v>
          </cell>
          <cell r="AX2" t="str">
            <v>Q4'25e</v>
          </cell>
          <cell r="AY2" t="str">
            <v>FY 25e</v>
          </cell>
        </row>
        <row r="3">
          <cell r="A3" t="str">
            <v>Period Ended</v>
          </cell>
          <cell r="F3">
            <v>42460</v>
          </cell>
          <cell r="K3">
            <v>42825</v>
          </cell>
          <cell r="L3">
            <v>42916</v>
          </cell>
          <cell r="M3">
            <v>43008</v>
          </cell>
          <cell r="N3">
            <v>43100</v>
          </cell>
          <cell r="O3">
            <v>43190</v>
          </cell>
          <cell r="P3">
            <v>43190</v>
          </cell>
          <cell r="Q3">
            <v>43281</v>
          </cell>
          <cell r="R3">
            <v>43373</v>
          </cell>
          <cell r="S3">
            <v>43465</v>
          </cell>
          <cell r="T3">
            <v>43555</v>
          </cell>
          <cell r="U3">
            <v>43555</v>
          </cell>
          <cell r="V3">
            <v>43646</v>
          </cell>
          <cell r="W3">
            <v>43738</v>
          </cell>
          <cell r="X3">
            <v>43830</v>
          </cell>
          <cell r="Y3">
            <v>43921</v>
          </cell>
          <cell r="Z3">
            <v>43921</v>
          </cell>
          <cell r="AA3">
            <v>44012</v>
          </cell>
          <cell r="AB3">
            <v>44104</v>
          </cell>
          <cell r="AC3">
            <v>44196</v>
          </cell>
          <cell r="AD3">
            <v>44286</v>
          </cell>
          <cell r="AE3">
            <v>44286</v>
          </cell>
          <cell r="AF3">
            <v>44377</v>
          </cell>
          <cell r="AG3">
            <v>44469</v>
          </cell>
          <cell r="AH3">
            <v>44561</v>
          </cell>
          <cell r="AI3">
            <v>44651</v>
          </cell>
          <cell r="AJ3">
            <v>44651</v>
          </cell>
          <cell r="AK3">
            <v>44742</v>
          </cell>
          <cell r="AL3">
            <v>44834</v>
          </cell>
          <cell r="AM3">
            <v>44926</v>
          </cell>
          <cell r="AN3">
            <v>45016</v>
          </cell>
          <cell r="AO3">
            <v>45016</v>
          </cell>
          <cell r="AP3">
            <v>45107</v>
          </cell>
          <cell r="AQ3">
            <v>45199</v>
          </cell>
          <cell r="AR3">
            <v>45291</v>
          </cell>
          <cell r="AS3">
            <v>45382</v>
          </cell>
          <cell r="AT3">
            <v>45382</v>
          </cell>
          <cell r="AU3">
            <v>45473</v>
          </cell>
          <cell r="AV3">
            <v>45565</v>
          </cell>
          <cell r="AW3">
            <v>45657</v>
          </cell>
          <cell r="AX3">
            <v>45747</v>
          </cell>
          <cell r="AY3">
            <v>45747</v>
          </cell>
        </row>
        <row r="8">
          <cell r="A8" t="str">
            <v>Net sales</v>
          </cell>
          <cell r="F8">
            <v>5405.7380000000003</v>
          </cell>
          <cell r="K8">
            <v>5804.2839999999997</v>
          </cell>
          <cell r="P8">
            <v>6171.8530000000001</v>
          </cell>
          <cell r="U8">
            <v>6704.0370000000003</v>
          </cell>
          <cell r="V8">
            <v>1825.1759999999999</v>
          </cell>
          <cell r="W8">
            <v>1819.577</v>
          </cell>
          <cell r="X8">
            <v>1849.441</v>
          </cell>
          <cell r="Y8">
            <v>1969.6469999999999</v>
          </cell>
          <cell r="Z8">
            <v>7463.8410000000003</v>
          </cell>
          <cell r="AA8">
            <v>1956.453</v>
          </cell>
          <cell r="AB8">
            <v>2019.1849999999999</v>
          </cell>
          <cell r="AC8">
            <v>1904.02</v>
          </cell>
          <cell r="AD8">
            <v>1979.28</v>
          </cell>
          <cell r="AE8">
            <v>7858.9379999999992</v>
          </cell>
          <cell r="AF8">
            <v>1989.066</v>
          </cell>
          <cell r="AG8">
            <v>2106.038</v>
          </cell>
          <cell r="AH8">
            <v>2170.5828000000001</v>
          </cell>
          <cell r="AI8">
            <v>2256.3792000000003</v>
          </cell>
          <cell r="AJ8">
            <v>8522.0660000000007</v>
          </cell>
          <cell r="AO8">
            <v>9118.6106200000013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T8">
            <v>9756.9133634000027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10439.897298838003</v>
          </cell>
        </row>
        <row r="19">
          <cell r="A19" t="str">
            <v>Gross Profit</v>
          </cell>
          <cell r="B19"/>
          <cell r="C19"/>
          <cell r="D19"/>
          <cell r="E19"/>
          <cell r="F19">
            <v>2825.7120000000004</v>
          </cell>
          <cell r="G19"/>
          <cell r="H19"/>
          <cell r="I19"/>
          <cell r="J19"/>
          <cell r="K19">
            <v>3112.3019999999997</v>
          </cell>
          <cell r="L19"/>
          <cell r="M19"/>
          <cell r="N19"/>
          <cell r="O19"/>
          <cell r="P19">
            <v>3304.75</v>
          </cell>
          <cell r="Q19"/>
          <cell r="R19"/>
          <cell r="S19"/>
          <cell r="T19"/>
          <cell r="U19">
            <v>3603.5710000000004</v>
          </cell>
          <cell r="V19">
            <v>984.52199999999993</v>
          </cell>
          <cell r="W19">
            <v>975.63499999999999</v>
          </cell>
          <cell r="X19">
            <v>1035.941</v>
          </cell>
          <cell r="Y19">
            <v>1088.5630000000001</v>
          </cell>
          <cell r="Z19">
            <v>4084.6610000000005</v>
          </cell>
          <cell r="AA19">
            <v>1007.5509999999999</v>
          </cell>
          <cell r="AB19">
            <v>1076.588</v>
          </cell>
          <cell r="AC19">
            <v>1037.249</v>
          </cell>
          <cell r="AD19">
            <v>1080.02</v>
          </cell>
          <cell r="AE19">
            <v>4201.4079999999994</v>
          </cell>
          <cell r="AF19">
            <v>1026.347</v>
          </cell>
          <cell r="AG19">
            <v>1158.3490000000002</v>
          </cell>
          <cell r="AH19">
            <v>1182.4638600000001</v>
          </cell>
          <cell r="AI19">
            <v>1231.2228000000002</v>
          </cell>
          <cell r="AJ19">
            <v>4598.3826600000002</v>
          </cell>
          <cell r="AK19"/>
          <cell r="AL19"/>
          <cell r="AM19"/>
          <cell r="AN19"/>
          <cell r="AO19">
            <v>4965.8624993000003</v>
          </cell>
          <cell r="AP19"/>
          <cell r="AQ19"/>
          <cell r="AR19"/>
          <cell r="AS19"/>
          <cell r="AT19">
            <v>5362.2574410680008</v>
          </cell>
          <cell r="AU19"/>
          <cell r="AV19"/>
          <cell r="AW19"/>
          <cell r="AX19"/>
          <cell r="AY19">
            <v>5789.8149484369515</v>
          </cell>
        </row>
        <row r="42">
          <cell r="A42" t="str">
            <v>GAAP EPS</v>
          </cell>
          <cell r="B42"/>
          <cell r="C42"/>
          <cell r="D42"/>
          <cell r="E42"/>
          <cell r="F42">
            <v>1.964304670016902</v>
          </cell>
          <cell r="G42"/>
          <cell r="H42"/>
          <cell r="I42"/>
          <cell r="J42"/>
          <cell r="K42">
            <v>1.6801903501482336</v>
          </cell>
          <cell r="L42"/>
          <cell r="M42"/>
          <cell r="N42"/>
          <cell r="O42"/>
          <cell r="P42">
            <v>2.0650487618878333</v>
          </cell>
          <cell r="Q42"/>
          <cell r="R42"/>
          <cell r="S42"/>
          <cell r="T42"/>
          <cell r="U42">
            <v>2.9235832619614008</v>
          </cell>
          <cell r="V42">
            <v>0.83176207327775242</v>
          </cell>
          <cell r="W42">
            <v>0.80873848708681062</v>
          </cell>
          <cell r="X42">
            <v>0.79137641166357398</v>
          </cell>
          <cell r="Y42">
            <v>0.98554766659422011</v>
          </cell>
          <cell r="Z42">
            <v>3.4169454304958116</v>
          </cell>
          <cell r="AA42">
            <v>0.92927153529965012</v>
          </cell>
          <cell r="AB42">
            <v>0.98078064607080861</v>
          </cell>
          <cell r="AC42">
            <v>1.0394919307954749</v>
          </cell>
          <cell r="AD42">
            <v>1.4434589629951422</v>
          </cell>
          <cell r="AE42">
            <v>4.3905309657928733</v>
          </cell>
          <cell r="AF42">
            <v>0.67527251144882816</v>
          </cell>
          <cell r="AG42">
            <v>1.1442365213465704</v>
          </cell>
          <cell r="AH42">
            <v>0.82155451483734632</v>
          </cell>
          <cell r="AI42">
            <v>0.8283821214505408</v>
          </cell>
          <cell r="AJ42">
            <v>3.469119286350268</v>
          </cell>
          <cell r="AK42"/>
          <cell r="AL42"/>
          <cell r="AM42"/>
          <cell r="AN42"/>
          <cell r="AO42">
            <v>4.3100488968147461</v>
          </cell>
          <cell r="AP42"/>
          <cell r="AQ42"/>
          <cell r="AR42"/>
          <cell r="AS42"/>
          <cell r="AT42">
            <v>4.8370660222309159</v>
          </cell>
          <cell r="AU42"/>
          <cell r="AV42"/>
          <cell r="AW42"/>
          <cell r="AX42"/>
          <cell r="AY42">
            <v>5.3515311828018763</v>
          </cell>
        </row>
        <row r="46">
          <cell r="A46" t="str">
            <v>Weighted Average Diluted Shares Outstanding</v>
          </cell>
          <cell r="B46"/>
          <cell r="C46"/>
          <cell r="D46"/>
          <cell r="E46"/>
          <cell r="F46">
            <v>149.71913699999999</v>
          </cell>
          <cell r="G46"/>
          <cell r="H46"/>
          <cell r="I46"/>
          <cell r="J46"/>
          <cell r="K46">
            <v>150.27464000000001</v>
          </cell>
          <cell r="L46"/>
          <cell r="M46"/>
          <cell r="N46"/>
          <cell r="O46"/>
          <cell r="P46">
            <v>147.750022</v>
          </cell>
          <cell r="Q46"/>
          <cell r="R46"/>
          <cell r="S46"/>
          <cell r="T46"/>
          <cell r="U46">
            <v>143.15617599999999</v>
          </cell>
          <cell r="V46">
            <v>141.129301</v>
          </cell>
          <cell r="W46">
            <v>141.36213599999999</v>
          </cell>
          <cell r="X46">
            <v>141.55842699999999</v>
          </cell>
          <cell r="Y46">
            <v>140.902368</v>
          </cell>
          <cell r="Z46">
            <v>141.238135</v>
          </cell>
          <cell r="AA46">
            <v>139.17245399999999</v>
          </cell>
          <cell r="AB46">
            <v>138.74763999999999</v>
          </cell>
          <cell r="AC46">
            <v>138.88611900000001</v>
          </cell>
          <cell r="AD46">
            <v>137.98591099999999</v>
          </cell>
          <cell r="AE46">
            <v>138.69803099999999</v>
          </cell>
          <cell r="AF46">
            <v>136.39234300000001</v>
          </cell>
          <cell r="AG46">
            <v>135.316429</v>
          </cell>
          <cell r="AH46">
            <v>134.316429</v>
          </cell>
          <cell r="AI46">
            <v>132.316429</v>
          </cell>
          <cell r="AJ46">
            <v>134.5854075</v>
          </cell>
          <cell r="AK46"/>
          <cell r="AL46"/>
          <cell r="AM46"/>
          <cell r="AN46"/>
          <cell r="AO46">
            <v>132.90846832102571</v>
          </cell>
          <cell r="AP46"/>
          <cell r="AQ46"/>
          <cell r="AR46"/>
          <cell r="AS46"/>
          <cell r="AT46">
            <v>131.23152914205141</v>
          </cell>
          <cell r="AU46"/>
          <cell r="AV46"/>
          <cell r="AW46"/>
          <cell r="AX46"/>
          <cell r="AY46">
            <v>129.55575288899874</v>
          </cell>
        </row>
        <row r="50">
          <cell r="A50" t="str">
            <v>Revenue Ex-Billable Expenses</v>
          </cell>
          <cell r="B50"/>
          <cell r="C50"/>
          <cell r="D50"/>
          <cell r="E50"/>
          <cell r="F50">
            <v>3892.6550000000002</v>
          </cell>
          <cell r="G50"/>
          <cell r="H50"/>
          <cell r="I50"/>
          <cell r="J50"/>
          <cell r="K50">
            <v>4053.2069999999994</v>
          </cell>
          <cell r="L50"/>
          <cell r="M50"/>
          <cell r="N50"/>
          <cell r="O50"/>
          <cell r="P50">
            <v>4310.5410000000002</v>
          </cell>
          <cell r="Q50"/>
          <cell r="R50"/>
          <cell r="S50"/>
          <cell r="T50"/>
          <cell r="U50">
            <v>4699.3730000000005</v>
          </cell>
          <cell r="V50">
            <v>1274.001</v>
          </cell>
          <cell r="W50">
            <v>1279.731</v>
          </cell>
          <cell r="X50">
            <v>1248.9189999999999</v>
          </cell>
          <cell r="Y50">
            <v>1362.777</v>
          </cell>
          <cell r="Z50">
            <v>5165.4279999999999</v>
          </cell>
          <cell r="AA50">
            <v>1407.376</v>
          </cell>
          <cell r="AB50">
            <v>1415.5329999999999</v>
          </cell>
          <cell r="AC50">
            <v>1326.961</v>
          </cell>
          <cell r="AD50">
            <v>1383.1799999999998</v>
          </cell>
          <cell r="AE50">
            <v>5533.0499999999993</v>
          </cell>
          <cell r="AF50">
            <v>1433.5210000000002</v>
          </cell>
          <cell r="AG50">
            <v>1465.9180000000001</v>
          </cell>
          <cell r="AH50">
            <v>1519.40796</v>
          </cell>
          <cell r="AI50">
            <v>1579.4654400000004</v>
          </cell>
          <cell r="AJ50">
            <v>5998.3124000000007</v>
          </cell>
          <cell r="AK50"/>
          <cell r="AL50"/>
          <cell r="AM50"/>
          <cell r="AN50"/>
          <cell r="AO50">
            <v>6383.0274340000014</v>
          </cell>
          <cell r="AP50"/>
          <cell r="AQ50"/>
          <cell r="AR50"/>
          <cell r="AS50"/>
          <cell r="AT50">
            <v>6829.8393543800021</v>
          </cell>
          <cell r="AU50"/>
          <cell r="AV50"/>
          <cell r="AW50"/>
          <cell r="AX50"/>
          <cell r="AY50">
            <v>7307.9281091866014</v>
          </cell>
        </row>
        <row r="60">
          <cell r="A60" t="str">
            <v>Adjusted Operating Income</v>
          </cell>
          <cell r="B60"/>
          <cell r="C60"/>
          <cell r="D60"/>
          <cell r="E60"/>
          <cell r="F60">
            <v>448.80900000000037</v>
          </cell>
          <cell r="G60"/>
          <cell r="H60"/>
          <cell r="I60"/>
          <cell r="J60"/>
          <cell r="K60">
            <v>491.82599999999974</v>
          </cell>
          <cell r="L60"/>
          <cell r="M60"/>
          <cell r="N60"/>
          <cell r="O60"/>
          <cell r="P60">
            <v>520.08500000000015</v>
          </cell>
          <cell r="Q60"/>
          <cell r="R60"/>
          <cell r="S60"/>
          <cell r="T60"/>
          <cell r="U60">
            <v>606.05400000000031</v>
          </cell>
          <cell r="V60">
            <v>179.04599999999999</v>
          </cell>
          <cell r="W60">
            <v>172.03499999999997</v>
          </cell>
          <cell r="X60">
            <v>170.11399999999998</v>
          </cell>
          <cell r="Y60">
            <v>151.79800000000012</v>
          </cell>
          <cell r="Z60">
            <v>672.99300000000051</v>
          </cell>
          <cell r="AA60">
            <v>192.22899999999996</v>
          </cell>
          <cell r="AB60">
            <v>207.38799999999995</v>
          </cell>
          <cell r="AC60">
            <v>184.32500000000007</v>
          </cell>
          <cell r="AD60">
            <v>171.41699999999997</v>
          </cell>
          <cell r="AE60">
            <v>755.35899999999992</v>
          </cell>
          <cell r="AF60">
            <v>213.05199999999999</v>
          </cell>
          <cell r="AG60">
            <v>243.91500000000016</v>
          </cell>
          <cell r="AH60">
            <v>171.16128320000004</v>
          </cell>
          <cell r="AI60">
            <v>170.20062800000002</v>
          </cell>
          <cell r="AJ60">
            <v>798.32891120000022</v>
          </cell>
          <cell r="AK60"/>
          <cell r="AL60"/>
          <cell r="AM60"/>
          <cell r="AN60"/>
          <cell r="AO60">
            <v>866.19758324984218</v>
          </cell>
          <cell r="AP60"/>
          <cell r="AQ60"/>
          <cell r="AR60"/>
          <cell r="AS60"/>
          <cell r="AT60">
            <v>945.62209026304549</v>
          </cell>
          <cell r="AU60"/>
          <cell r="AV60"/>
          <cell r="AW60"/>
          <cell r="AX60"/>
          <cell r="AY60">
            <v>1020.6687241473267</v>
          </cell>
        </row>
        <row r="61">
          <cell r="A61" t="str">
            <v>Adjusted Operating Margin</v>
          </cell>
          <cell r="B61"/>
          <cell r="C61"/>
          <cell r="D61"/>
          <cell r="E61"/>
          <cell r="F61">
            <v>8.3024556499038671E-2</v>
          </cell>
          <cell r="G61"/>
          <cell r="H61"/>
          <cell r="I61"/>
          <cell r="J61"/>
          <cell r="K61">
            <v>8.4734999183361762E-2</v>
          </cell>
          <cell r="L61"/>
          <cell r="M61"/>
          <cell r="N61"/>
          <cell r="O61"/>
          <cell r="P61">
            <v>8.4267237084227398E-2</v>
          </cell>
          <cell r="Q61"/>
          <cell r="R61"/>
          <cell r="S61"/>
          <cell r="T61"/>
          <cell r="U61">
            <v>9.0401350708535805E-2</v>
          </cell>
          <cell r="V61">
            <v>9.8097936856500409E-2</v>
          </cell>
          <cell r="W61">
            <v>9.4546699590069547E-2</v>
          </cell>
          <cell r="X61">
            <v>9.1981306784049865E-2</v>
          </cell>
          <cell r="Y61">
            <v>7.7068632094989667E-2</v>
          </cell>
          <cell r="Z61">
            <v>9.0167113688515127E-2</v>
          </cell>
          <cell r="AA61">
            <v>9.8253829762330075E-2</v>
          </cell>
          <cell r="AB61">
            <v>0.10270876616060438</v>
          </cell>
          <cell r="AC61">
            <v>9.6808331845253767E-2</v>
          </cell>
          <cell r="AD61">
            <v>8.6605735418940205E-2</v>
          </cell>
          <cell r="AE61">
            <v>9.6114640425971037E-2</v>
          </cell>
          <cell r="AF61">
            <v>0.10711157900240614</v>
          </cell>
          <cell r="AG61">
            <v>0.1158169985536824</v>
          </cell>
          <cell r="AH61">
            <v>7.8854989176178877E-2</v>
          </cell>
          <cell r="AI61">
            <v>7.5430861975682106E-2</v>
          </cell>
          <cell r="AJ61">
            <v>9.3677860650222627E-2</v>
          </cell>
          <cell r="AK61"/>
          <cell r="AL61"/>
          <cell r="AM61"/>
          <cell r="AN61"/>
          <cell r="AO61">
            <v>9.4992276712638268E-2</v>
          </cell>
          <cell r="AP61"/>
          <cell r="AQ61"/>
          <cell r="AR61"/>
          <cell r="AS61"/>
          <cell r="AT61">
            <v>9.6918159979799537E-2</v>
          </cell>
          <cell r="AU61"/>
          <cell r="AV61"/>
          <cell r="AW61"/>
          <cell r="AX61"/>
          <cell r="AY61">
            <v>9.7766165215143516E-2</v>
          </cell>
        </row>
        <row r="77">
          <cell r="A77" t="str">
            <v>Adjusted EBITDA</v>
          </cell>
          <cell r="B77"/>
          <cell r="C77"/>
          <cell r="D77"/>
          <cell r="E77"/>
          <cell r="F77">
            <v>506.12000000000035</v>
          </cell>
          <cell r="G77"/>
          <cell r="H77"/>
          <cell r="I77"/>
          <cell r="J77"/>
          <cell r="K77">
            <v>547.14499999999975</v>
          </cell>
          <cell r="L77"/>
          <cell r="M77"/>
          <cell r="N77"/>
          <cell r="O77"/>
          <cell r="P77">
            <v>584.84100000000012</v>
          </cell>
          <cell r="Q77"/>
          <cell r="R77"/>
          <cell r="S77"/>
          <cell r="T77"/>
          <cell r="U77">
            <v>674.62900000000036</v>
          </cell>
          <cell r="V77">
            <v>199.06700000000001</v>
          </cell>
          <cell r="W77">
            <v>191.66699999999997</v>
          </cell>
          <cell r="X77">
            <v>190.76899999999998</v>
          </cell>
          <cell r="Y77">
            <v>172.57100000000008</v>
          </cell>
          <cell r="Z77">
            <v>754.07400000000064</v>
          </cell>
          <cell r="AA77">
            <v>212.96099999999993</v>
          </cell>
          <cell r="AB77">
            <v>228.40299999999999</v>
          </cell>
          <cell r="AC77">
            <v>205.4380000000001</v>
          </cell>
          <cell r="AD77">
            <v>192.87199999999996</v>
          </cell>
          <cell r="AE77">
            <v>839.67399999999998</v>
          </cell>
          <cell r="AF77">
            <v>238.13900000000001</v>
          </cell>
          <cell r="AG77">
            <v>269.64900000000017</v>
          </cell>
          <cell r="AH77">
            <v>204.03478320000002</v>
          </cell>
          <cell r="AI77">
            <v>203.07412800000003</v>
          </cell>
          <cell r="AJ77">
            <v>914.8969112000002</v>
          </cell>
          <cell r="AK77"/>
          <cell r="AL77"/>
          <cell r="AM77"/>
          <cell r="AN77"/>
          <cell r="AO77">
            <v>966.57272572000011</v>
          </cell>
          <cell r="AP77"/>
          <cell r="AQ77"/>
          <cell r="AR77"/>
          <cell r="AS77"/>
          <cell r="AT77">
            <v>1043.9897298838002</v>
          </cell>
          <cell r="AU77"/>
          <cell r="AV77"/>
          <cell r="AW77"/>
          <cell r="AX77"/>
          <cell r="AY77">
            <v>1117.0690109756663</v>
          </cell>
        </row>
        <row r="80">
          <cell r="A80" t="str">
            <v>Adjusted EBITDA Margin on Revenue Ex-Billable Expenses</v>
          </cell>
          <cell r="B80"/>
          <cell r="C80"/>
          <cell r="D80"/>
          <cell r="E80"/>
          <cell r="F80">
            <v>0.13001922852140771</v>
          </cell>
          <cell r="G80"/>
          <cell r="H80"/>
          <cell r="I80"/>
          <cell r="J80"/>
          <cell r="K80">
            <v>0.13499063827729496</v>
          </cell>
          <cell r="L80"/>
          <cell r="M80"/>
          <cell r="N80"/>
          <cell r="O80"/>
          <cell r="P80">
            <v>0.13567693707124004</v>
          </cell>
          <cell r="Q80"/>
          <cell r="R80"/>
          <cell r="S80"/>
          <cell r="T80"/>
          <cell r="U80">
            <v>0.14355723625258099</v>
          </cell>
          <cell r="V80">
            <v>0.15625340953421543</v>
          </cell>
          <cell r="W80">
            <v>0.14977131912878563</v>
          </cell>
          <cell r="X80">
            <v>0.15274729586146099</v>
          </cell>
          <cell r="Y80">
            <v>0.12663187007118559</v>
          </cell>
          <cell r="Z80">
            <v>0.14598480513134646</v>
          </cell>
          <cell r="AA80">
            <v>0.15131777151237474</v>
          </cell>
          <cell r="AB80">
            <v>0.16135476883972327</v>
          </cell>
          <cell r="AC80">
            <v>0.15481841591425829</v>
          </cell>
          <cell r="AD80">
            <v>0.13944099827932732</v>
          </cell>
          <cell r="AE80">
            <v>0.15175608389586215</v>
          </cell>
          <cell r="AF80">
            <v>0.16612173801430183</v>
          </cell>
          <cell r="AG80">
            <v>0.18394548671890251</v>
          </cell>
          <cell r="AH80">
            <v>0.13428571428571429</v>
          </cell>
          <cell r="AI80">
            <v>0.12857142857142856</v>
          </cell>
          <cell r="AJ80">
            <v>0.15252571893387881</v>
          </cell>
          <cell r="AK80"/>
          <cell r="AL80"/>
          <cell r="AM80"/>
          <cell r="AN80"/>
          <cell r="AO80">
            <v>0.15142857142857141</v>
          </cell>
          <cell r="AP80"/>
          <cell r="AQ80"/>
          <cell r="AR80"/>
          <cell r="AS80"/>
          <cell r="AT80">
            <v>0.15285714285714286</v>
          </cell>
          <cell r="AU80"/>
          <cell r="AV80"/>
          <cell r="AW80"/>
          <cell r="AX80"/>
          <cell r="AY80">
            <v>0.15285714285714286</v>
          </cell>
        </row>
        <row r="98">
          <cell r="A98" t="str">
            <v>Adjusted EPS</v>
          </cell>
          <cell r="B98"/>
          <cell r="C98"/>
          <cell r="D98"/>
          <cell r="E98"/>
          <cell r="F98">
            <v>1.6460728063106616</v>
          </cell>
          <cell r="G98"/>
          <cell r="H98"/>
          <cell r="I98"/>
          <cell r="J98"/>
          <cell r="K98">
            <v>1.7458501314659596</v>
          </cell>
          <cell r="L98"/>
          <cell r="M98"/>
          <cell r="N98"/>
          <cell r="O98"/>
          <cell r="P98">
            <v>2.0148215274039019</v>
          </cell>
          <cell r="Q98"/>
          <cell r="R98"/>
          <cell r="S98"/>
          <cell r="T98"/>
          <cell r="U98">
            <v>2.7594212910520914</v>
          </cell>
          <cell r="V98">
            <v>0.83415831557190223</v>
          </cell>
          <cell r="W98">
            <v>0.81188982599979931</v>
          </cell>
          <cell r="X98">
            <v>0.80159622005406983</v>
          </cell>
          <cell r="Y98">
            <v>0.72923032776851637</v>
          </cell>
          <cell r="Z98">
            <v>3.1770289235269251</v>
          </cell>
          <cell r="AA98">
            <v>0.93329560747703677</v>
          </cell>
          <cell r="AB98">
            <v>1.0341801849746775</v>
          </cell>
          <cell r="AC98">
            <v>1.0436105569340599</v>
          </cell>
          <cell r="AD98">
            <v>0.89297044246785451</v>
          </cell>
          <cell r="AE98">
            <v>3.9040567918536286</v>
          </cell>
          <cell r="AF98">
            <v>1.069610483925773</v>
          </cell>
          <cell r="AG98">
            <v>1.2574269159881553</v>
          </cell>
          <cell r="AH98">
            <v>0.89932492205615877</v>
          </cell>
          <cell r="AI98">
            <v>0.9073280502248634</v>
          </cell>
          <cell r="AJ98">
            <v>4.1377867773560313</v>
          </cell>
          <cell r="AK98"/>
          <cell r="AL98"/>
          <cell r="AM98"/>
          <cell r="AN98"/>
          <cell r="AO98">
            <v>4.6754946142114573</v>
          </cell>
          <cell r="AP98"/>
          <cell r="AQ98"/>
          <cell r="AR98"/>
          <cell r="AS98"/>
          <cell r="AT98">
            <v>5.199779268459098</v>
          </cell>
          <cell r="AU98"/>
          <cell r="AV98"/>
          <cell r="AW98"/>
          <cell r="AX98"/>
          <cell r="AY98">
            <v>5.7115879508229499</v>
          </cell>
        </row>
        <row r="124">
          <cell r="A124" t="str">
            <v>Cash Flow from Operations</v>
          </cell>
          <cell r="B124"/>
          <cell r="C124"/>
          <cell r="D124"/>
          <cell r="E124"/>
          <cell r="F124">
            <v>249.23400000000029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382.27699999999976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369.14300000000009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499.61000000000024</v>
          </cell>
          <cell r="V124">
            <v>50.982999999999954</v>
          </cell>
          <cell r="W124">
            <v>215.69600000000003</v>
          </cell>
          <cell r="X124">
            <v>99.779999999999959</v>
          </cell>
          <cell r="Y124">
            <v>184.96900000000014</v>
          </cell>
          <cell r="Z124">
            <v>551.42800000000045</v>
          </cell>
          <cell r="AA124">
            <v>140.41799999999986</v>
          </cell>
          <cell r="AB124">
            <v>425.60599999999988</v>
          </cell>
          <cell r="AC124">
            <v>232.93500000000012</v>
          </cell>
          <cell r="AD124">
            <v>-80.274999999999977</v>
          </cell>
          <cell r="AE124">
            <v>718.68399999999986</v>
          </cell>
          <cell r="AF124">
            <v>-10.662000000000006</v>
          </cell>
          <cell r="AG124">
            <v>470.40800000000019</v>
          </cell>
          <cell r="AH124">
            <v>242.1523965318741</v>
          </cell>
          <cell r="AI124">
            <v>115.47365951466327</v>
          </cell>
          <cell r="AJ124">
            <v>817.37205604653764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O124">
            <v>722.29210534238632</v>
          </cell>
          <cell r="AP124">
            <v>0</v>
          </cell>
          <cell r="AQ124">
            <v>0</v>
          </cell>
          <cell r="AR124">
            <v>0</v>
          </cell>
          <cell r="AS124">
            <v>0</v>
          </cell>
          <cell r="AT124">
            <v>866.54922923376103</v>
          </cell>
          <cell r="AU124">
            <v>0</v>
          </cell>
          <cell r="AV124">
            <v>0</v>
          </cell>
          <cell r="AW124">
            <v>0</v>
          </cell>
          <cell r="AX124">
            <v>0</v>
          </cell>
          <cell r="AY124">
            <v>915.29986235301692</v>
          </cell>
        </row>
        <row r="152">
          <cell r="A152" t="str">
            <v>Free Cash Flow</v>
          </cell>
          <cell r="B152"/>
          <cell r="C152"/>
          <cell r="D152"/>
          <cell r="E152"/>
          <cell r="F152">
            <v>182.59900000000027</v>
          </cell>
          <cell r="G152"/>
          <cell r="H152"/>
          <cell r="I152"/>
          <cell r="J152"/>
          <cell r="K152">
            <v>328.35799999999978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290.70600000000007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404.92900000000026</v>
          </cell>
          <cell r="V152">
            <v>23.646999999999956</v>
          </cell>
          <cell r="W152">
            <v>183.05400000000003</v>
          </cell>
          <cell r="X152">
            <v>69.045999999999964</v>
          </cell>
          <cell r="Y152">
            <v>147.60200000000015</v>
          </cell>
          <cell r="Z152">
            <v>423.34900000000044</v>
          </cell>
          <cell r="AA152">
            <v>120.35999999999987</v>
          </cell>
          <cell r="AB152">
            <v>407.57999999999987</v>
          </cell>
          <cell r="AC152">
            <v>216.9860000000001</v>
          </cell>
          <cell r="AD152">
            <v>-113.45199999999997</v>
          </cell>
          <cell r="AE152">
            <v>631.47399999999982</v>
          </cell>
          <cell r="AF152">
            <v>-19.670000000000005</v>
          </cell>
          <cell r="AG152">
            <v>449.74100000000021</v>
          </cell>
          <cell r="AH152">
            <v>216.1054029318741</v>
          </cell>
          <cell r="AI152">
            <v>88.397109114663266</v>
          </cell>
          <cell r="AJ152">
            <v>734.57351204653764</v>
          </cell>
          <cell r="AK152"/>
          <cell r="AL152"/>
          <cell r="AM152"/>
          <cell r="AN152"/>
          <cell r="AO152">
            <v>621.1036200571989</v>
          </cell>
          <cell r="AP152">
            <v>0</v>
          </cell>
          <cell r="AQ152">
            <v>0</v>
          </cell>
          <cell r="AR152">
            <v>0</v>
          </cell>
          <cell r="AS152">
            <v>0</v>
          </cell>
          <cell r="AT152">
            <v>749.466268872961</v>
          </cell>
          <cell r="AU152">
            <v>0</v>
          </cell>
          <cell r="AV152">
            <v>0</v>
          </cell>
          <cell r="AW152">
            <v>0</v>
          </cell>
          <cell r="AX152">
            <v>0</v>
          </cell>
          <cell r="AY152">
            <v>790.02109476696091</v>
          </cell>
        </row>
        <row r="222">
          <cell r="A222" t="str">
            <v>Gross Debt</v>
          </cell>
          <cell r="F222">
            <v>1597.2610000000002</v>
          </cell>
          <cell r="K222">
            <v>1663.3240000000001</v>
          </cell>
          <cell r="P222">
            <v>1818.579</v>
          </cell>
          <cell r="U222">
            <v>1759.761</v>
          </cell>
          <cell r="V222">
            <v>2141.2449999999999</v>
          </cell>
          <cell r="W222">
            <v>2122.7449999999999</v>
          </cell>
          <cell r="X222">
            <v>2104.5099999999998</v>
          </cell>
          <cell r="Y222">
            <v>2185.8440000000001</v>
          </cell>
          <cell r="Z222">
            <v>2185.8440000000001</v>
          </cell>
          <cell r="AA222">
            <v>2067.1929999999998</v>
          </cell>
          <cell r="AB222">
            <v>2393.6039999999998</v>
          </cell>
          <cell r="AC222">
            <v>2375.0069999999996</v>
          </cell>
          <cell r="AD222">
            <v>2356.596</v>
          </cell>
          <cell r="AE222">
            <v>2356.596</v>
          </cell>
          <cell r="AF222">
            <v>2848.6559999999999</v>
          </cell>
          <cell r="AG222">
            <v>2832.462</v>
          </cell>
          <cell r="AH222">
            <v>2832.462</v>
          </cell>
          <cell r="AI222">
            <v>2832.462</v>
          </cell>
          <cell r="AJ222">
            <v>2832.462</v>
          </cell>
          <cell r="AO222">
            <v>2832.462</v>
          </cell>
          <cell r="AT222">
            <v>2832.462</v>
          </cell>
          <cell r="AY222">
            <v>2832.462</v>
          </cell>
        </row>
        <row r="223">
          <cell r="A223" t="str">
            <v>Gross Debt</v>
          </cell>
          <cell r="B223"/>
          <cell r="C223"/>
          <cell r="D223"/>
          <cell r="E223"/>
          <cell r="F223">
            <v>1597.2610000000002</v>
          </cell>
          <cell r="G223"/>
          <cell r="H223"/>
          <cell r="I223"/>
          <cell r="J223"/>
          <cell r="K223">
            <v>1663.3240000000001</v>
          </cell>
          <cell r="L223"/>
          <cell r="M223"/>
          <cell r="N223"/>
          <cell r="O223"/>
          <cell r="P223">
            <v>1818.579</v>
          </cell>
          <cell r="Q223"/>
          <cell r="R223"/>
          <cell r="S223"/>
          <cell r="T223"/>
          <cell r="U223">
            <v>1759.761</v>
          </cell>
          <cell r="V223">
            <v>2141.2449999999999</v>
          </cell>
          <cell r="W223">
            <v>2122.7449999999999</v>
          </cell>
          <cell r="X223">
            <v>2104.5099999999998</v>
          </cell>
          <cell r="Y223">
            <v>2185.8440000000001</v>
          </cell>
          <cell r="Z223">
            <v>2185.8440000000001</v>
          </cell>
          <cell r="AA223">
            <v>2067.1929999999998</v>
          </cell>
          <cell r="AB223">
            <v>2393.6039999999998</v>
          </cell>
          <cell r="AC223">
            <v>2375.0069999999996</v>
          </cell>
          <cell r="AD223">
            <v>2356.596</v>
          </cell>
          <cell r="AE223">
            <v>2356.596</v>
          </cell>
          <cell r="AF223">
            <v>2848.6559999999999</v>
          </cell>
          <cell r="AG223">
            <v>2832.462</v>
          </cell>
          <cell r="AH223">
            <v>2832.462</v>
          </cell>
          <cell r="AI223">
            <v>2832.462</v>
          </cell>
          <cell r="AJ223">
            <v>2832.462</v>
          </cell>
          <cell r="AK223"/>
          <cell r="AL223"/>
          <cell r="AM223"/>
          <cell r="AN223"/>
          <cell r="AO223">
            <v>2832.462</v>
          </cell>
          <cell r="AP223"/>
          <cell r="AQ223"/>
          <cell r="AR223"/>
          <cell r="AS223"/>
          <cell r="AT223">
            <v>2832.462</v>
          </cell>
          <cell r="AU223"/>
          <cell r="AV223"/>
          <cell r="AW223"/>
          <cell r="AX223"/>
          <cell r="AY223">
            <v>2832.462</v>
          </cell>
        </row>
        <row r="229">
          <cell r="A229" t="str">
            <v>Net Leverage</v>
          </cell>
          <cell r="F229">
            <v>2.7853710582470543</v>
          </cell>
          <cell r="K229">
            <v>2.6426395196885668</v>
          </cell>
          <cell r="P229">
            <v>2.6188673502712696</v>
          </cell>
          <cell r="U229">
            <v>2.1875297385674188</v>
          </cell>
          <cell r="V229" t="str">
            <v>NA</v>
          </cell>
          <cell r="W229" t="str">
            <v>NA</v>
          </cell>
          <cell r="X229" t="str">
            <v>NA</v>
          </cell>
          <cell r="Y229">
            <v>1.9148558364298465</v>
          </cell>
          <cell r="Z229">
            <v>1.9148558364298451</v>
          </cell>
          <cell r="AA229">
            <v>1.8836474957289884</v>
          </cell>
          <cell r="AB229">
            <v>1.389845210164234</v>
          </cell>
          <cell r="AC229">
            <v>1.2615817216334924</v>
          </cell>
          <cell r="AD229">
            <v>1.6263942911177434</v>
          </cell>
          <cell r="AE229">
            <v>1.6263942911177434</v>
          </cell>
          <cell r="AF229">
            <v>2.5747688621868248</v>
          </cell>
          <cell r="AG229">
            <v>2.2555672785945884</v>
          </cell>
          <cell r="AH229">
            <v>1.2449703896982971</v>
          </cell>
          <cell r="AI229">
            <v>1.3396201725339636</v>
          </cell>
          <cell r="AJ229">
            <v>2.1822649563429728</v>
          </cell>
          <cell r="AO229">
            <v>1.8188967700194991</v>
          </cell>
          <cell r="AT229">
            <v>1.2464484600852335</v>
          </cell>
          <cell r="AY229">
            <v>0.69960838118337443</v>
          </cell>
        </row>
      </sheetData>
      <sheetData sheetId="3"/>
      <sheetData sheetId="4"/>
      <sheetData sheetId="5"/>
      <sheetData sheetId="6">
        <row r="2">
          <cell r="C2" t="str">
            <v>FY1 PE</v>
          </cell>
        </row>
      </sheetData>
      <sheetData sheetId="7">
        <row r="7">
          <cell r="E7">
            <v>44561</v>
          </cell>
        </row>
      </sheetData>
      <sheetData sheetId="8">
        <row r="2">
          <cell r="C2" t="str">
            <v>FY1 EV/EBITDA</v>
          </cell>
        </row>
      </sheetData>
      <sheetData sheetId="9">
        <row r="2">
          <cell r="C2" t="str">
            <v>FY1 FCF Yield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FDSCACHE__"/>
      <sheetName val="Valuation"/>
      <sheetName val="Summary"/>
      <sheetName val="Main Worksheet"/>
      <sheetName val="Relative PE"/>
      <sheetName val="PEG Trading History"/>
      <sheetName val="PE Trading History"/>
      <sheetName val="EV.EBITDA Trading History"/>
      <sheetName val="FCF Yield Trading History"/>
      <sheetName val="FactSet"/>
    </sheetNames>
    <sheetDataSet>
      <sheetData sheetId="0"/>
      <sheetData sheetId="1"/>
      <sheetData sheetId="2">
        <row r="10">
          <cell r="AG10">
            <v>1438.4997534870306</v>
          </cell>
        </row>
      </sheetData>
      <sheetData sheetId="3">
        <row r="11">
          <cell r="A11" t="str">
            <v>Reported Sales</v>
          </cell>
          <cell r="B11"/>
          <cell r="C11">
            <v>7043</v>
          </cell>
          <cell r="D11"/>
          <cell r="E11"/>
          <cell r="F11"/>
          <cell r="G11"/>
          <cell r="H11">
            <v>10170</v>
          </cell>
          <cell r="I11">
            <v>2443</v>
          </cell>
          <cell r="J11">
            <v>2529</v>
          </cell>
          <cell r="K11">
            <v>2575</v>
          </cell>
          <cell r="L11">
            <v>2647</v>
          </cell>
          <cell r="M11">
            <v>10194</v>
          </cell>
          <cell r="N11">
            <v>2577</v>
          </cell>
          <cell r="O11">
            <v>2728</v>
          </cell>
          <cell r="P11">
            <v>2835</v>
          </cell>
          <cell r="Q11">
            <v>2954</v>
          </cell>
          <cell r="R11">
            <v>11094</v>
          </cell>
          <cell r="S11">
            <v>2889</v>
          </cell>
          <cell r="T11">
            <v>2914</v>
          </cell>
          <cell r="U11">
            <v>3242</v>
          </cell>
          <cell r="V11">
            <v>3252</v>
          </cell>
          <cell r="W11">
            <v>12297</v>
          </cell>
          <cell r="X11">
            <v>3315</v>
          </cell>
          <cell r="Y11">
            <v>3448</v>
          </cell>
          <cell r="Z11">
            <v>3483</v>
          </cell>
          <cell r="AA11">
            <v>3558.98</v>
          </cell>
          <cell r="AB11">
            <v>13804.98</v>
          </cell>
          <cell r="AC11">
            <v>3415.5550000000003</v>
          </cell>
          <cell r="AD11">
            <v>3430.5899999999997</v>
          </cell>
          <cell r="AE11">
            <v>3426.3799999999997</v>
          </cell>
          <cell r="AF11">
            <v>3546.2070000000003</v>
          </cell>
          <cell r="AG11">
            <v>13818.732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14670.644045000001</v>
          </cell>
          <cell r="AM11">
            <v>0</v>
          </cell>
          <cell r="AN11">
            <v>0</v>
          </cell>
          <cell r="AO11">
            <v>0</v>
          </cell>
          <cell r="AP11">
            <v>0</v>
          </cell>
          <cell r="AQ11">
            <v>15575.26598145</v>
          </cell>
        </row>
        <row r="80">
          <cell r="A80" t="str">
            <v>GAAP EPS - Diluted</v>
          </cell>
          <cell r="B80"/>
          <cell r="C80">
            <v>2.3461538461538463</v>
          </cell>
          <cell r="D80"/>
          <cell r="E80"/>
          <cell r="F80"/>
          <cell r="G80"/>
          <cell r="H80">
            <v>2.3766233766233764</v>
          </cell>
          <cell r="I80"/>
          <cell r="J80"/>
          <cell r="K80"/>
          <cell r="L80"/>
          <cell r="M80">
            <v>3.7973856209150325</v>
          </cell>
          <cell r="N80"/>
          <cell r="O80"/>
          <cell r="P80"/>
          <cell r="Q80"/>
          <cell r="R80">
            <v>4.5999999999999996</v>
          </cell>
          <cell r="S80">
            <v>0.79861111111111116</v>
          </cell>
          <cell r="T80">
            <v>1.0625</v>
          </cell>
          <cell r="U80">
            <v>1.1319444444444444</v>
          </cell>
          <cell r="V80">
            <v>1.3680555555555556</v>
          </cell>
          <cell r="W80">
            <v>4.3611111111111107</v>
          </cell>
          <cell r="X80">
            <v>1.4236111111111112</v>
          </cell>
          <cell r="Y80">
            <v>1.1818181818181819</v>
          </cell>
          <cell r="Z80">
            <v>1.4335664335664335</v>
          </cell>
          <cell r="AA80">
            <v>1.3337420611209523</v>
          </cell>
          <cell r="AB80">
            <v>5.3734131686070628</v>
          </cell>
          <cell r="AC80">
            <v>1.4766751374703697</v>
          </cell>
          <cell r="AD80">
            <v>1.1991037553326458</v>
          </cell>
          <cell r="AE80">
            <v>1.1452670644414005</v>
          </cell>
          <cell r="AF80">
            <v>1.1866847020111075</v>
          </cell>
          <cell r="AG80">
            <v>5.0089471754967025</v>
          </cell>
          <cell r="AH80"/>
          <cell r="AI80"/>
          <cell r="AJ80"/>
          <cell r="AK80"/>
          <cell r="AL80">
            <v>5.7830663512285492</v>
          </cell>
          <cell r="AM80"/>
          <cell r="AN80"/>
          <cell r="AO80"/>
          <cell r="AP80"/>
          <cell r="AQ80">
            <v>6.7981332522214633</v>
          </cell>
        </row>
        <row r="86">
          <cell r="C86">
            <v>104</v>
          </cell>
          <cell r="D86"/>
          <cell r="E86"/>
          <cell r="F86"/>
          <cell r="G86"/>
          <cell r="H86">
            <v>154</v>
          </cell>
          <cell r="I86"/>
          <cell r="J86"/>
          <cell r="K86"/>
          <cell r="L86"/>
          <cell r="M86">
            <v>153</v>
          </cell>
          <cell r="N86"/>
          <cell r="O86"/>
          <cell r="P86"/>
          <cell r="Q86"/>
          <cell r="R86">
            <v>145</v>
          </cell>
          <cell r="S86">
            <v>144</v>
          </cell>
          <cell r="T86">
            <v>144</v>
          </cell>
          <cell r="U86">
            <v>144</v>
          </cell>
          <cell r="V86">
            <v>144</v>
          </cell>
          <cell r="W86">
            <v>144</v>
          </cell>
          <cell r="X86">
            <v>144</v>
          </cell>
          <cell r="Y86">
            <v>143</v>
          </cell>
          <cell r="Z86">
            <v>143</v>
          </cell>
          <cell r="AA86">
            <v>141.30181351242555</v>
          </cell>
          <cell r="AB86">
            <v>142.82545337810637</v>
          </cell>
          <cell r="AC86">
            <v>139.60683723229164</v>
          </cell>
          <cell r="AD86">
            <v>141.12705364103766</v>
          </cell>
          <cell r="AE86">
            <v>137.57800681786915</v>
          </cell>
          <cell r="AF86">
            <v>139.0945078701038</v>
          </cell>
          <cell r="AG86">
            <v>139.35160139032556</v>
          </cell>
          <cell r="AH86"/>
          <cell r="AI86"/>
          <cell r="AJ86"/>
          <cell r="AK86"/>
          <cell r="AL86">
            <v>131.9837352903709</v>
          </cell>
          <cell r="AM86"/>
          <cell r="AN86"/>
          <cell r="AO86"/>
          <cell r="AP86"/>
          <cell r="AQ86">
            <v>124.80884626469434</v>
          </cell>
        </row>
        <row r="112">
          <cell r="A112" t="str">
            <v>Total Adjusted Operating Income</v>
          </cell>
          <cell r="B112"/>
          <cell r="C112">
            <v>609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993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1004</v>
          </cell>
          <cell r="N112">
            <v>239</v>
          </cell>
          <cell r="O112">
            <v>256</v>
          </cell>
          <cell r="P112">
            <v>295</v>
          </cell>
          <cell r="Q112">
            <v>309</v>
          </cell>
          <cell r="R112">
            <v>1099</v>
          </cell>
          <cell r="S112">
            <v>246</v>
          </cell>
          <cell r="T112">
            <v>327</v>
          </cell>
          <cell r="U112">
            <v>324</v>
          </cell>
          <cell r="V112">
            <v>349</v>
          </cell>
          <cell r="W112">
            <v>1246</v>
          </cell>
          <cell r="X112">
            <v>367</v>
          </cell>
          <cell r="Y112">
            <v>334</v>
          </cell>
          <cell r="Z112">
            <v>376</v>
          </cell>
          <cell r="AA112">
            <v>367.16461917012452</v>
          </cell>
          <cell r="AB112">
            <v>1444.1646191701245</v>
          </cell>
          <cell r="AC112">
            <v>376.73239683350357</v>
          </cell>
          <cell r="AD112">
            <v>328.774</v>
          </cell>
          <cell r="AE112">
            <v>313.62800000000004</v>
          </cell>
          <cell r="AF112">
            <v>323.36535665352699</v>
          </cell>
          <cell r="AG112">
            <v>1342.4997534870306</v>
          </cell>
          <cell r="AH112"/>
          <cell r="AI112"/>
          <cell r="AJ112"/>
          <cell r="AK112"/>
          <cell r="AL112">
            <v>1427.2606473599999</v>
          </cell>
          <cell r="AM112"/>
          <cell r="AN112"/>
          <cell r="AO112"/>
          <cell r="AP112"/>
          <cell r="AQ112">
            <v>1537.9054129395001</v>
          </cell>
        </row>
        <row r="113">
          <cell r="A113" t="str">
            <v>Total Adjusted Operating Income Margin</v>
          </cell>
          <cell r="B113"/>
          <cell r="C113">
            <v>8.6468834303563821E-2</v>
          </cell>
          <cell r="D113"/>
          <cell r="E113"/>
          <cell r="F113"/>
          <cell r="G113"/>
          <cell r="H113">
            <v>9.7640117994100301E-2</v>
          </cell>
          <cell r="I113"/>
          <cell r="J113"/>
          <cell r="K113"/>
          <cell r="L113"/>
          <cell r="M113">
            <v>9.848930743574652E-2</v>
          </cell>
          <cell r="N113">
            <v>9.2743500194024053E-2</v>
          </cell>
          <cell r="O113">
            <v>9.3841642228739003E-2</v>
          </cell>
          <cell r="P113">
            <v>0.10405643738977072</v>
          </cell>
          <cell r="Q113">
            <v>0.1046039268788084</v>
          </cell>
          <cell r="R113">
            <v>9.9062556336758603E-2</v>
          </cell>
          <cell r="S113">
            <v>8.5150571131879543E-2</v>
          </cell>
          <cell r="T113">
            <v>0.1122168840082361</v>
          </cell>
          <cell r="U113">
            <v>9.9938309685379395E-2</v>
          </cell>
          <cell r="V113">
            <v>0.10731857318573186</v>
          </cell>
          <cell r="W113">
            <v>0.10132552655119134</v>
          </cell>
          <cell r="X113">
            <v>0.11070889894419306</v>
          </cell>
          <cell r="Y113">
            <v>9.6867749419953603E-2</v>
          </cell>
          <cell r="Z113">
            <v>0.10795291415446454</v>
          </cell>
          <cell r="AA113">
            <v>0.1031656876886424</v>
          </cell>
          <cell r="AB113">
            <v>0.10461185884877229</v>
          </cell>
          <cell r="AC113">
            <v>0.11029902807406221</v>
          </cell>
          <cell r="AD113">
            <v>9.5835993225655072E-2</v>
          </cell>
          <cell r="AE113">
            <v>9.1533338392122326E-2</v>
          </cell>
          <cell r="AF113">
            <v>9.1186260884806483E-2</v>
          </cell>
          <cell r="AG113">
            <v>9.7150719290817034E-2</v>
          </cell>
          <cell r="AH113"/>
          <cell r="AI113"/>
          <cell r="AJ113"/>
          <cell r="AK113"/>
          <cell r="AL113">
            <v>9.7286843234836301E-2</v>
          </cell>
          <cell r="AM113"/>
          <cell r="AN113"/>
          <cell r="AO113"/>
          <cell r="AP113"/>
          <cell r="AQ113">
            <v>9.8740234341495772E-2</v>
          </cell>
        </row>
        <row r="138">
          <cell r="A138" t="str">
            <v>Adjusted Earnings Per Share, attributable to Leidos</v>
          </cell>
          <cell r="B138"/>
          <cell r="C138">
            <v>2.7980769230769229</v>
          </cell>
          <cell r="D138"/>
          <cell r="E138"/>
          <cell r="F138"/>
          <cell r="G138"/>
          <cell r="H138">
            <v>3.720779220779221</v>
          </cell>
          <cell r="I138"/>
          <cell r="J138"/>
          <cell r="K138"/>
          <cell r="L138"/>
          <cell r="M138">
            <v>4.3790849673202619</v>
          </cell>
          <cell r="N138"/>
          <cell r="O138"/>
          <cell r="P138"/>
          <cell r="Q138"/>
          <cell r="R138">
            <v>5.1724137931034484</v>
          </cell>
          <cell r="S138">
            <v>1.1875</v>
          </cell>
          <cell r="T138">
            <v>1.5486111111111112</v>
          </cell>
          <cell r="U138">
            <v>1.4722222222222223</v>
          </cell>
          <cell r="V138">
            <v>1.625</v>
          </cell>
          <cell r="W138">
            <v>5.833333333333333</v>
          </cell>
          <cell r="X138">
            <v>1.7291666666666667</v>
          </cell>
          <cell r="Y138">
            <v>1.5244755244755244</v>
          </cell>
          <cell r="Z138">
            <v>1.7972027972027973</v>
          </cell>
          <cell r="AA138">
            <v>1.6550999373964206</v>
          </cell>
          <cell r="AB138">
            <v>6.706568052422841</v>
          </cell>
          <cell r="AC138">
            <v>1.8019346419792373</v>
          </cell>
          <cell r="AD138">
            <v>1.5208595741689375</v>
          </cell>
          <cell r="AE138">
            <v>1.4753230941405282</v>
          </cell>
          <cell r="AF138">
            <v>1.5131422408424102</v>
          </cell>
          <cell r="AG138">
            <v>6.3123681696203571</v>
          </cell>
          <cell r="AH138"/>
          <cell r="AI138"/>
          <cell r="AJ138"/>
          <cell r="AK138"/>
          <cell r="AL138">
            <v>7.1592495787853219</v>
          </cell>
          <cell r="AM138"/>
          <cell r="AN138"/>
          <cell r="AO138"/>
          <cell r="AP138"/>
          <cell r="AQ138">
            <v>8.2534291567416656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FDSCACHE__"/>
      <sheetName val="Summary"/>
      <sheetName val="Main Worksheet"/>
      <sheetName val="Valuation"/>
      <sheetName val="Relative PE"/>
      <sheetName val="PEG Trading History"/>
      <sheetName val="PE Trading History"/>
      <sheetName val="EV.EBITDA Trading History"/>
      <sheetName val="FCF Yield Trading History"/>
      <sheetName val="Sheet1"/>
      <sheetName val="FactSet"/>
    </sheetNames>
    <sheetDataSet>
      <sheetData sheetId="0"/>
      <sheetData sheetId="1">
        <row r="10">
          <cell r="AO10">
            <v>730.2448778446261</v>
          </cell>
        </row>
      </sheetData>
      <sheetData sheetId="2">
        <row r="3">
          <cell r="A3" t="str">
            <v>Period Ended</v>
          </cell>
        </row>
        <row r="26">
          <cell r="A26" t="str">
            <v xml:space="preserve">Operating Income - GAAP
</v>
          </cell>
          <cell r="B26"/>
          <cell r="C26"/>
          <cell r="D26"/>
          <cell r="E26"/>
          <cell r="F26">
            <v>264.75000000000051</v>
          </cell>
          <cell r="G26"/>
          <cell r="H26"/>
          <cell r="I26"/>
          <cell r="J26"/>
          <cell r="K26">
            <v>297.26100000000019</v>
          </cell>
          <cell r="L26"/>
          <cell r="M26"/>
          <cell r="N26"/>
          <cell r="O26"/>
          <cell r="P26">
            <v>340.70000000000039</v>
          </cell>
          <cell r="Q26"/>
          <cell r="R26"/>
          <cell r="S26"/>
          <cell r="T26"/>
          <cell r="U26">
            <v>377.86699999999945</v>
          </cell>
          <cell r="V26">
            <v>100.1570000000001</v>
          </cell>
          <cell r="W26">
            <v>110.18699999999988</v>
          </cell>
          <cell r="X26">
            <v>113.67599999999993</v>
          </cell>
          <cell r="Y26">
            <v>133.6760000000001</v>
          </cell>
          <cell r="Z26">
            <v>457.69600000000003</v>
          </cell>
          <cell r="AA26">
            <v>134.42400000000009</v>
          </cell>
          <cell r="AB26">
            <v>141.53900000000002</v>
          </cell>
          <cell r="AC26">
            <v>151.43800000000013</v>
          </cell>
          <cell r="AD26">
            <v>112.05000000000007</v>
          </cell>
          <cell r="AE26">
            <v>539.45100000000025</v>
          </cell>
          <cell r="AF26">
            <v>127.02899999999987</v>
          </cell>
          <cell r="AG26">
            <v>135.63235184248987</v>
          </cell>
          <cell r="AH26">
            <v>144.25455115721701</v>
          </cell>
          <cell r="AI26">
            <v>144.50404987212283</v>
          </cell>
          <cell r="AJ26">
            <v>551.41995287182954</v>
          </cell>
          <cell r="AK26"/>
          <cell r="AL26"/>
          <cell r="AM26"/>
          <cell r="AN26"/>
          <cell r="AO26">
            <v>602.48423784462614</v>
          </cell>
          <cell r="AP26"/>
          <cell r="AQ26"/>
          <cell r="AR26"/>
          <cell r="AS26"/>
          <cell r="AT26">
            <v>651.90197455011617</v>
          </cell>
          <cell r="AU26"/>
          <cell r="AV26"/>
          <cell r="AW26"/>
          <cell r="AX26"/>
          <cell r="AY26">
            <v>704.20906825128088</v>
          </cell>
        </row>
        <row r="27">
          <cell r="A27" t="str">
            <v xml:space="preserve">Operating Margin - GAAP
</v>
          </cell>
          <cell r="B27"/>
          <cell r="C27"/>
          <cell r="D27"/>
          <cell r="E27"/>
          <cell r="F27">
            <v>7.0712140025795706E-2</v>
          </cell>
          <cell r="G27"/>
          <cell r="H27"/>
          <cell r="I27"/>
          <cell r="J27"/>
          <cell r="K27">
            <v>6.826340869931849E-2</v>
          </cell>
          <cell r="L27"/>
          <cell r="M27"/>
          <cell r="N27"/>
          <cell r="O27"/>
          <cell r="P27">
            <v>7.6255746599043023E-2</v>
          </cell>
          <cell r="Q27"/>
          <cell r="R27"/>
          <cell r="S27"/>
          <cell r="T27"/>
          <cell r="U27">
            <v>7.5780416943004802E-2</v>
          </cell>
          <cell r="V27">
            <v>7.3461630990940316E-2</v>
          </cell>
          <cell r="W27">
            <v>7.8960550180620204E-2</v>
          </cell>
          <cell r="X27">
            <v>7.7562772925764148E-2</v>
          </cell>
          <cell r="Y27">
            <v>8.9380648724475695E-2</v>
          </cell>
          <cell r="Z27">
            <v>8.0016195685276445E-2</v>
          </cell>
          <cell r="AA27">
            <v>9.2102396290251687E-2</v>
          </cell>
          <cell r="AB27">
            <v>9.6369537642191014E-2</v>
          </cell>
          <cell r="AC27">
            <v>9.7581186634860942E-2</v>
          </cell>
          <cell r="AD27">
            <v>7.1643222506393905E-2</v>
          </cell>
          <cell r="AE27">
            <v>8.9251977330089452E-2</v>
          </cell>
          <cell r="AF27">
            <v>8.5203011876063869E-2</v>
          </cell>
          <cell r="AG27">
            <v>8.7774271466321524E-2</v>
          </cell>
          <cell r="AH27">
            <v>8.8371875688374207E-2</v>
          </cell>
          <cell r="AI27">
            <v>8.7843980012329945E-2</v>
          </cell>
          <cell r="AJ27">
            <v>8.7339756765743154E-2</v>
          </cell>
          <cell r="AK27"/>
          <cell r="AL27"/>
          <cell r="AM27"/>
          <cell r="AN27"/>
          <cell r="AO27">
            <v>9.0918000319400172E-2</v>
          </cell>
          <cell r="AP27"/>
          <cell r="AQ27"/>
          <cell r="AR27"/>
          <cell r="AS27"/>
          <cell r="AT27">
            <v>9.3281866786880496E-2</v>
          </cell>
          <cell r="AU27"/>
          <cell r="AV27"/>
          <cell r="AW27"/>
          <cell r="AX27"/>
          <cell r="AY27">
            <v>9.55492521115133E-2</v>
          </cell>
        </row>
        <row r="47">
          <cell r="A47" t="str">
            <v>Weighted Average Diluted Shares Outstanding</v>
          </cell>
          <cell r="B47"/>
          <cell r="C47"/>
          <cell r="D47"/>
          <cell r="E47"/>
          <cell r="F47">
            <v>24.802</v>
          </cell>
          <cell r="G47"/>
          <cell r="H47"/>
          <cell r="I47"/>
          <cell r="J47"/>
          <cell r="K47">
            <v>25.068999999999999</v>
          </cell>
          <cell r="L47"/>
          <cell r="M47"/>
          <cell r="N47"/>
          <cell r="O47"/>
          <cell r="P47">
            <v>25.254999999999999</v>
          </cell>
          <cell r="Q47"/>
          <cell r="R47"/>
          <cell r="S47"/>
          <cell r="T47"/>
          <cell r="U47">
            <v>25.395</v>
          </cell>
          <cell r="V47">
            <v>25.532</v>
          </cell>
          <cell r="W47">
            <v>25.434999999999999</v>
          </cell>
          <cell r="X47">
            <v>25.478000000000002</v>
          </cell>
          <cell r="Y47">
            <v>25.495999999999999</v>
          </cell>
          <cell r="Z47">
            <v>25.485249999999997</v>
          </cell>
          <cell r="AA47">
            <v>25.486000000000001</v>
          </cell>
          <cell r="AB47">
            <v>25.451000000000001</v>
          </cell>
          <cell r="AC47">
            <v>25.166</v>
          </cell>
          <cell r="AD47">
            <v>23.856000000000002</v>
          </cell>
          <cell r="AE47">
            <v>24.989750000000001</v>
          </cell>
          <cell r="AF47">
            <v>23.844000000000001</v>
          </cell>
          <cell r="AG47">
            <v>23.944000000000003</v>
          </cell>
          <cell r="AH47">
            <v>23.944000000000003</v>
          </cell>
          <cell r="AI47">
            <v>23.944000000000003</v>
          </cell>
          <cell r="AJ47">
            <v>23.919</v>
          </cell>
          <cell r="AK47"/>
          <cell r="AL47"/>
          <cell r="AM47"/>
          <cell r="AN47"/>
          <cell r="AO47">
            <v>23.919</v>
          </cell>
          <cell r="AP47"/>
          <cell r="AQ47"/>
          <cell r="AR47"/>
          <cell r="AS47"/>
          <cell r="AT47">
            <v>23.894000000000002</v>
          </cell>
          <cell r="AU47"/>
          <cell r="AV47"/>
          <cell r="AW47"/>
          <cell r="AX47"/>
          <cell r="AY47">
            <v>23.869000000000003</v>
          </cell>
        </row>
        <row r="60">
          <cell r="A60" t="str">
            <v>Adjusted EBITDA</v>
          </cell>
          <cell r="B60"/>
          <cell r="C60"/>
          <cell r="D60"/>
          <cell r="E60"/>
          <cell r="F60">
            <v>330.36500000000052</v>
          </cell>
          <cell r="G60"/>
          <cell r="H60"/>
          <cell r="I60"/>
          <cell r="J60"/>
          <cell r="K60">
            <v>369.90400000000017</v>
          </cell>
          <cell r="L60"/>
          <cell r="M60"/>
          <cell r="N60"/>
          <cell r="O60"/>
          <cell r="P60">
            <v>412.9060000000004</v>
          </cell>
          <cell r="Q60"/>
          <cell r="R60"/>
          <cell r="S60"/>
          <cell r="T60"/>
          <cell r="U60">
            <v>464.74399999999946</v>
          </cell>
          <cell r="V60">
            <v>128.31100000000009</v>
          </cell>
          <cell r="W60">
            <v>140.90199999999987</v>
          </cell>
          <cell r="X60">
            <v>141.43199999999993</v>
          </cell>
          <cell r="Y60">
            <v>162.94000000000011</v>
          </cell>
          <cell r="Z60">
            <v>573.58500000000004</v>
          </cell>
          <cell r="AA60">
            <v>165.43600000000009</v>
          </cell>
          <cell r="AB60">
            <v>174.58</v>
          </cell>
          <cell r="AC60">
            <v>183.65100000000012</v>
          </cell>
          <cell r="AD60">
            <v>144.91500000000008</v>
          </cell>
          <cell r="AE60">
            <v>668.58200000000022</v>
          </cell>
          <cell r="AF60">
            <v>160.93999999999988</v>
          </cell>
          <cell r="AG60">
            <v>168.22435184248988</v>
          </cell>
          <cell r="AH60">
            <v>176.84655115721702</v>
          </cell>
          <cell r="AI60">
            <v>177.09604987212282</v>
          </cell>
          <cell r="AJ60">
            <v>683.10695287182966</v>
          </cell>
          <cell r="AK60"/>
          <cell r="AL60"/>
          <cell r="AM60"/>
          <cell r="AN60"/>
          <cell r="AO60">
            <v>730.2448778446261</v>
          </cell>
          <cell r="AP60"/>
          <cell r="AQ60"/>
          <cell r="AR60"/>
          <cell r="AS60"/>
          <cell r="AT60">
            <v>777.1074017501162</v>
          </cell>
          <cell r="AU60"/>
          <cell r="AV60"/>
          <cell r="AW60"/>
          <cell r="AX60"/>
          <cell r="AY60">
            <v>826.91038690728089</v>
          </cell>
        </row>
        <row r="61">
          <cell r="A61" t="str">
            <v>Adjusted EBITDA Margin</v>
          </cell>
          <cell r="B61"/>
          <cell r="C61"/>
          <cell r="D61"/>
          <cell r="E61"/>
          <cell r="F61">
            <v>8.8237265872037729E-2</v>
          </cell>
          <cell r="G61"/>
          <cell r="H61"/>
          <cell r="I61"/>
          <cell r="J61"/>
          <cell r="K61">
            <v>8.4945243175232207E-2</v>
          </cell>
          <cell r="L61"/>
          <cell r="M61"/>
          <cell r="N61"/>
          <cell r="O61"/>
          <cell r="P61">
            <v>9.2416951292117563E-2</v>
          </cell>
          <cell r="Q61"/>
          <cell r="R61"/>
          <cell r="S61"/>
          <cell r="T61"/>
          <cell r="U61">
            <v>9.3203413083862402E-2</v>
          </cell>
          <cell r="V61">
            <v>9.4111598131718599E-2</v>
          </cell>
          <cell r="W61">
            <v>0.10097107137457005</v>
          </cell>
          <cell r="X61">
            <v>9.6501091703056721E-2</v>
          </cell>
          <cell r="Y61">
            <v>0.10894762637396443</v>
          </cell>
          <cell r="Z61">
            <v>0.10027636160713507</v>
          </cell>
          <cell r="AA61">
            <v>0.11335068166900313</v>
          </cell>
          <cell r="AB61">
            <v>0.11886613499864848</v>
          </cell>
          <cell r="AC61">
            <v>0.11833808229558528</v>
          </cell>
          <cell r="AD61">
            <v>9.2656649616368339E-2</v>
          </cell>
          <cell r="AE61">
            <v>0.11061665565047772</v>
          </cell>
          <cell r="AF61">
            <v>0.10794836400612241</v>
          </cell>
          <cell r="AG61">
            <v>0.10886613499864849</v>
          </cell>
          <cell r="AH61">
            <v>0.10833808229558528</v>
          </cell>
          <cell r="AI61">
            <v>0.10765664961636834</v>
          </cell>
          <cell r="AJ61">
            <v>0.10819774438354668</v>
          </cell>
          <cell r="AK61"/>
          <cell r="AL61"/>
          <cell r="AM61"/>
          <cell r="AN61"/>
          <cell r="AO61">
            <v>0.11019774438354668</v>
          </cell>
          <cell r="AP61"/>
          <cell r="AQ61"/>
          <cell r="AR61"/>
          <cell r="AS61"/>
          <cell r="AT61">
            <v>0.11119774438354668</v>
          </cell>
          <cell r="AU61">
            <v>1E-3</v>
          </cell>
          <cell r="AV61">
            <v>1E-3</v>
          </cell>
          <cell r="AW61">
            <v>1E-3</v>
          </cell>
          <cell r="AX61">
            <v>1E-3</v>
          </cell>
          <cell r="AY61">
            <v>0.11219774438354668</v>
          </cell>
        </row>
        <row r="88">
          <cell r="A88" t="str">
            <v>Cash Net Income (excl. intangible amortization)</v>
          </cell>
          <cell r="B88"/>
          <cell r="C88"/>
          <cell r="D88"/>
          <cell r="E88"/>
          <cell r="F88"/>
          <cell r="G88"/>
          <cell r="H88"/>
          <cell r="I88"/>
          <cell r="J88"/>
          <cell r="K88"/>
          <cell r="L88"/>
          <cell r="M88"/>
          <cell r="N88"/>
          <cell r="O88"/>
          <cell r="P88"/>
          <cell r="Q88"/>
          <cell r="R88"/>
          <cell r="S88"/>
          <cell r="T88"/>
          <cell r="U88"/>
          <cell r="V88"/>
          <cell r="W88"/>
          <cell r="X88">
            <v>91.376999999999924</v>
          </cell>
          <cell r="Y88">
            <v>104.5170000000001</v>
          </cell>
          <cell r="Z88">
            <v>365.16800000000006</v>
          </cell>
          <cell r="AA88">
            <v>105.53600000000009</v>
          </cell>
          <cell r="AB88">
            <v>119.36000000000003</v>
          </cell>
          <cell r="AC88">
            <v>132.86900000000014</v>
          </cell>
          <cell r="AD88">
            <v>149.43100000000004</v>
          </cell>
          <cell r="AE88">
            <v>507.19600000000031</v>
          </cell>
          <cell r="AF88">
            <v>101.07599999999987</v>
          </cell>
          <cell r="AG88">
            <v>107.57541034107516</v>
          </cell>
          <cell r="AH88">
            <v>114.08905902299757</v>
          </cell>
          <cell r="AI88">
            <v>114.27754306473294</v>
          </cell>
          <cell r="AJ88">
            <v>437.01801242880555</v>
          </cell>
          <cell r="AK88"/>
          <cell r="AL88"/>
          <cell r="AM88"/>
          <cell r="AN88"/>
          <cell r="AO88">
            <v>474.55721513227314</v>
          </cell>
          <cell r="AP88"/>
          <cell r="AQ88"/>
          <cell r="AR88"/>
          <cell r="AS88"/>
          <cell r="AT88">
            <v>510.87327857944598</v>
          </cell>
          <cell r="AU88"/>
          <cell r="AV88"/>
          <cell r="AW88"/>
          <cell r="AX88"/>
          <cell r="AY88">
            <v>549.39244177609748</v>
          </cell>
        </row>
        <row r="91">
          <cell r="A91" t="str">
            <v>Cash EPS (excl. intangible amortization)</v>
          </cell>
          <cell r="B91"/>
          <cell r="C91"/>
          <cell r="D91"/>
          <cell r="E91"/>
          <cell r="F91"/>
          <cell r="G91"/>
          <cell r="H91"/>
          <cell r="I91"/>
          <cell r="J91"/>
          <cell r="K91"/>
          <cell r="L91"/>
          <cell r="M91"/>
          <cell r="N91"/>
          <cell r="O91"/>
          <cell r="P91"/>
          <cell r="Q91"/>
          <cell r="R91"/>
          <cell r="S91"/>
          <cell r="T91"/>
          <cell r="U91"/>
          <cell r="V91"/>
          <cell r="W91"/>
          <cell r="X91">
            <v>3.5865060051809374</v>
          </cell>
          <cell r="Y91">
            <v>4.099348917477255</v>
          </cell>
          <cell r="Z91">
            <v>14.328601838318248</v>
          </cell>
          <cell r="AA91">
            <v>4.1409401239896448</v>
          </cell>
          <cell r="AB91">
            <v>4.6897960787395396</v>
          </cell>
          <cell r="AC91">
            <v>5.2797027735834119</v>
          </cell>
          <cell r="AD91">
            <v>6.2638749161636502</v>
          </cell>
          <cell r="AE91">
            <v>20.296161426184746</v>
          </cell>
          <cell r="AF91">
            <v>4.239053850025158</v>
          </cell>
          <cell r="AG91">
            <v>4.4927919454174381</v>
          </cell>
          <cell r="AH91">
            <v>4.764828726319644</v>
          </cell>
          <cell r="AI91">
            <v>4.7727005957539648</v>
          </cell>
          <cell r="AJ91">
            <v>18.270747624432691</v>
          </cell>
          <cell r="AK91"/>
          <cell r="AL91"/>
          <cell r="AM91"/>
          <cell r="AN91"/>
          <cell r="AO91">
            <v>19.840177897582389</v>
          </cell>
          <cell r="AP91"/>
          <cell r="AQ91"/>
          <cell r="AR91"/>
          <cell r="AS91"/>
          <cell r="AT91">
            <v>21.380818556099687</v>
          </cell>
          <cell r="AU91"/>
          <cell r="AV91"/>
          <cell r="AW91"/>
          <cell r="AX91"/>
          <cell r="AY91">
            <v>23.016986123260189</v>
          </cell>
        </row>
        <row r="137">
          <cell r="A137" t="str">
            <v>Cash used (provided) by MARPA</v>
          </cell>
          <cell r="B137"/>
          <cell r="C137"/>
          <cell r="D137"/>
          <cell r="E137"/>
          <cell r="F137"/>
          <cell r="G137"/>
          <cell r="H137"/>
          <cell r="I137"/>
          <cell r="J137"/>
          <cell r="K137"/>
          <cell r="L137"/>
          <cell r="M137"/>
          <cell r="N137"/>
          <cell r="O137"/>
          <cell r="P137"/>
          <cell r="Q137"/>
          <cell r="R137"/>
          <cell r="S137"/>
          <cell r="T137"/>
          <cell r="U137">
            <v>-192.25700000000001</v>
          </cell>
          <cell r="V137">
            <v>11.423999999999999</v>
          </cell>
          <cell r="W137">
            <v>-16.334</v>
          </cell>
          <cell r="X137">
            <v>3.9380000000000002</v>
          </cell>
          <cell r="Y137">
            <v>-6.5010000000000003</v>
          </cell>
          <cell r="Z137">
            <v>-7.4729999999999999</v>
          </cell>
          <cell r="AA137">
            <v>15.795</v>
          </cell>
          <cell r="AB137">
            <v>-15.553000000000001</v>
          </cell>
          <cell r="AC137">
            <v>9.8979999999999997</v>
          </cell>
          <cell r="AD137">
            <v>7.8330000000000002</v>
          </cell>
          <cell r="AE137">
            <v>17.972999999999999</v>
          </cell>
          <cell r="AF137">
            <v>-11.489000000000001</v>
          </cell>
          <cell r="AG137"/>
          <cell r="AH137"/>
          <cell r="AI137"/>
          <cell r="AJ137"/>
          <cell r="AK137"/>
          <cell r="AL137"/>
          <cell r="AM137"/>
          <cell r="AN137"/>
          <cell r="AO137"/>
          <cell r="AP137"/>
          <cell r="AQ137"/>
          <cell r="AR137"/>
          <cell r="AS137"/>
          <cell r="AT137"/>
          <cell r="AU137"/>
          <cell r="AV137"/>
          <cell r="AW137"/>
          <cell r="AX137"/>
          <cell r="AY137"/>
        </row>
        <row r="138">
          <cell r="A138" t="str">
            <v>Free Cash Flow (ex. MARPA)</v>
          </cell>
          <cell r="B138"/>
          <cell r="C138"/>
          <cell r="D138"/>
          <cell r="E138"/>
          <cell r="F138">
            <v>221.74200000000056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237.98200000000028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283.53300000000041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315.13799999999935</v>
          </cell>
          <cell r="V138">
            <v>92.092000000000098</v>
          </cell>
          <cell r="W138">
            <v>98.987999999999857</v>
          </cell>
          <cell r="X138">
            <v>111.44199999999992</v>
          </cell>
          <cell r="Y138">
            <v>136.40700000000007</v>
          </cell>
          <cell r="Z138">
            <v>438.92900000000003</v>
          </cell>
          <cell r="AA138">
            <v>176.4130000000001</v>
          </cell>
          <cell r="AB138">
            <v>174.24300000000002</v>
          </cell>
          <cell r="AC138">
            <v>108.72700000000015</v>
          </cell>
          <cell r="AD138">
            <v>77.675999999999988</v>
          </cell>
          <cell r="AE138">
            <v>537.0590000000002</v>
          </cell>
          <cell r="AF138">
            <v>164.26099999999985</v>
          </cell>
          <cell r="AG138">
            <v>101.88734264287967</v>
          </cell>
          <cell r="AH138">
            <v>94.42371636581538</v>
          </cell>
          <cell r="AI138">
            <v>389.09618190186507</v>
          </cell>
          <cell r="AJ138">
            <v>761.15724091056018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O138">
            <v>577.0838857967874</v>
          </cell>
          <cell r="AP138">
            <v>0</v>
          </cell>
          <cell r="AQ138">
            <v>0</v>
          </cell>
          <cell r="AR138">
            <v>0</v>
          </cell>
          <cell r="AS138">
            <v>0</v>
          </cell>
          <cell r="AT138">
            <v>611.35988415976317</v>
          </cell>
          <cell r="AU138">
            <v>0</v>
          </cell>
          <cell r="AV138">
            <v>0</v>
          </cell>
          <cell r="AW138">
            <v>0</v>
          </cell>
          <cell r="AX138">
            <v>0</v>
          </cell>
          <cell r="AY138">
            <v>648.14993832368509</v>
          </cell>
        </row>
        <row r="209">
          <cell r="A209" t="str">
            <v>Funded</v>
          </cell>
          <cell r="B209"/>
          <cell r="C209"/>
          <cell r="D209"/>
          <cell r="E209"/>
          <cell r="F209">
            <v>2.2999999999999998</v>
          </cell>
          <cell r="G209"/>
          <cell r="H209"/>
          <cell r="I209"/>
          <cell r="J209"/>
          <cell r="K209">
            <v>1.9</v>
          </cell>
          <cell r="L209"/>
          <cell r="M209"/>
          <cell r="N209"/>
          <cell r="O209"/>
          <cell r="P209">
            <v>2.1</v>
          </cell>
          <cell r="Q209"/>
          <cell r="R209"/>
          <cell r="S209"/>
          <cell r="T209"/>
          <cell r="U209">
            <v>2.9</v>
          </cell>
          <cell r="V209">
            <v>3.3</v>
          </cell>
          <cell r="W209">
            <v>2.8</v>
          </cell>
          <cell r="X209">
            <v>3</v>
          </cell>
          <cell r="Y209">
            <v>2.8</v>
          </cell>
          <cell r="Z209">
            <v>2.8</v>
          </cell>
          <cell r="AA209">
            <v>3.4</v>
          </cell>
          <cell r="AB209">
            <v>2.9</v>
          </cell>
          <cell r="AC209">
            <v>3</v>
          </cell>
          <cell r="AD209">
            <v>3.3</v>
          </cell>
          <cell r="AE209">
            <v>3.3</v>
          </cell>
          <cell r="AF209">
            <v>3.5</v>
          </cell>
          <cell r="AG209"/>
          <cell r="AH209"/>
          <cell r="AI209"/>
          <cell r="AJ209"/>
          <cell r="AK209"/>
          <cell r="AL209"/>
          <cell r="AM209"/>
          <cell r="AN209"/>
          <cell r="AO209"/>
          <cell r="AP209"/>
          <cell r="AQ209"/>
          <cell r="AR209"/>
          <cell r="AS209"/>
          <cell r="AT209"/>
          <cell r="AU209"/>
          <cell r="AV209"/>
          <cell r="AW209"/>
          <cell r="AX209"/>
          <cell r="AY209"/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FDSCACHE__"/>
      <sheetName val="Cover"/>
      <sheetName val="Summary"/>
      <sheetName val="Main Worksheet"/>
      <sheetName val="Valuation"/>
      <sheetName val="Relative PE"/>
      <sheetName val="PEG Trading History"/>
      <sheetName val="PE Trading History"/>
      <sheetName val="EV.EBITDA Trading History"/>
      <sheetName val="FCF Yield Trading History"/>
      <sheetName val="Guidance"/>
      <sheetName val="EBITDA Regression with Non-Avia"/>
      <sheetName val="FactSet"/>
      <sheetName val="BA Deliveries 2018 - 2021 Raw"/>
      <sheetName val="BA Delivs 2018 - 2021 Pivot"/>
      <sheetName val="Valuation (2)"/>
    </sheetNames>
    <sheetDataSet>
      <sheetData sheetId="0"/>
      <sheetData sheetId="1"/>
      <sheetData sheetId="2"/>
      <sheetData sheetId="3">
        <row r="2">
          <cell r="A2"/>
        </row>
        <row r="124">
          <cell r="A124" t="str">
            <v>Adjusted EPS</v>
          </cell>
          <cell r="B124"/>
          <cell r="C124"/>
          <cell r="D124"/>
          <cell r="E124"/>
          <cell r="F124">
            <v>11.483804334277115</v>
          </cell>
          <cell r="G124"/>
          <cell r="H124"/>
          <cell r="I124"/>
          <cell r="J124"/>
          <cell r="K124">
            <v>12.379884746983612</v>
          </cell>
          <cell r="L124">
            <v>5.5767446043165458</v>
          </cell>
          <cell r="M124">
            <v>3.7917633306357361</v>
          </cell>
          <cell r="N124">
            <v>4.0149828228141802</v>
          </cell>
          <cell r="O124">
            <v>4.4430254519291354</v>
          </cell>
          <cell r="P124">
            <v>17.827202906631658</v>
          </cell>
          <cell r="Q124">
            <v>3.84955595026643</v>
          </cell>
          <cell r="R124">
            <v>4.1563055062166967</v>
          </cell>
          <cell r="S124">
            <v>4.6536412078152756</v>
          </cell>
          <cell r="T124">
            <v>5.6127886323268212</v>
          </cell>
          <cell r="U124">
            <v>18.272291296625223</v>
          </cell>
          <cell r="V124">
            <v>4.9303135888501739</v>
          </cell>
          <cell r="W124">
            <v>5.0871080139372822</v>
          </cell>
          <cell r="X124">
            <v>1.5357766143106457</v>
          </cell>
          <cell r="Y124">
            <v>2.8883071553228623</v>
          </cell>
          <cell r="Z124">
            <v>14.458987783595115</v>
          </cell>
          <cell r="AA124">
            <v>1.9691780821917808</v>
          </cell>
          <cell r="AB124">
            <v>2.5856164383561646</v>
          </cell>
          <cell r="AC124">
            <v>3.3219178082191783</v>
          </cell>
          <cell r="AD124">
            <v>4.2636986301369868</v>
          </cell>
          <cell r="AE124">
            <v>12.152896811792937</v>
          </cell>
          <cell r="AF124">
            <v>3.552971424084272</v>
          </cell>
          <cell r="AG124">
            <v>4.0839818128031933</v>
          </cell>
          <cell r="AH124">
            <v>4.5503007101719808</v>
          </cell>
          <cell r="AI124">
            <v>4.5096762278521423</v>
          </cell>
          <cell r="AJ124">
            <v>16.700285798842494</v>
          </cell>
          <cell r="AK124">
            <v>4.5569358708826746</v>
          </cell>
          <cell r="AL124">
            <v>5.0708120630005329</v>
          </cell>
          <cell r="AM124">
            <v>5.5966773215654415</v>
          </cell>
          <cell r="AN124">
            <v>5.7440728733515956</v>
          </cell>
          <cell r="AO124">
            <v>20.969712097343631</v>
          </cell>
          <cell r="AP124">
            <v>5.7809089734500407</v>
          </cell>
          <cell r="AQ124">
            <v>5.9567521102685825</v>
          </cell>
          <cell r="AR124">
            <v>6.1257094709906807</v>
          </cell>
          <cell r="AS124">
            <v>6.2490562575785944</v>
          </cell>
          <cell r="AT124">
            <v>24.1128930223779</v>
          </cell>
        </row>
        <row r="145">
          <cell r="A145" t="str">
            <v>EBITDA as Defined</v>
          </cell>
          <cell r="B145"/>
          <cell r="C145"/>
          <cell r="D145"/>
          <cell r="E145"/>
          <cell r="F145">
            <v>1495.23</v>
          </cell>
          <cell r="G145"/>
          <cell r="H145"/>
          <cell r="I145"/>
          <cell r="J145"/>
          <cell r="K145">
            <v>1710.5629999999999</v>
          </cell>
          <cell r="L145">
            <v>401.51499999999993</v>
          </cell>
          <cell r="M145">
            <v>463.12299999999999</v>
          </cell>
          <cell r="N145">
            <v>487.14099999999996</v>
          </cell>
          <cell r="O145">
            <v>524.73000000000036</v>
          </cell>
          <cell r="P145">
            <v>1876.5090000000005</v>
          </cell>
          <cell r="Q145">
            <v>487.14800000000002</v>
          </cell>
          <cell r="R145">
            <v>565.58199999999999</v>
          </cell>
          <cell r="S145">
            <v>659</v>
          </cell>
          <cell r="T145">
            <v>707</v>
          </cell>
          <cell r="U145">
            <v>2418.73</v>
          </cell>
          <cell r="V145">
            <v>681</v>
          </cell>
          <cell r="W145">
            <v>675</v>
          </cell>
          <cell r="X145">
            <v>424</v>
          </cell>
          <cell r="Y145">
            <v>498</v>
          </cell>
          <cell r="Z145">
            <v>2278</v>
          </cell>
          <cell r="AA145">
            <v>474</v>
          </cell>
          <cell r="AB145">
            <v>518</v>
          </cell>
          <cell r="AC145">
            <v>559</v>
          </cell>
          <cell r="AD145">
            <v>637</v>
          </cell>
          <cell r="AE145">
            <v>2188</v>
          </cell>
          <cell r="AF145">
            <v>617.53179999999986</v>
          </cell>
          <cell r="AG145">
            <v>660.78789999999992</v>
          </cell>
          <cell r="AH145">
            <v>697.18612000000007</v>
          </cell>
          <cell r="AI145">
            <v>695.54822999999999</v>
          </cell>
          <cell r="AJ145">
            <v>2671.0540499999997</v>
          </cell>
          <cell r="AK145">
            <v>687.00162320000004</v>
          </cell>
          <cell r="AL145">
            <v>728.68106699999998</v>
          </cell>
          <cell r="AM145">
            <v>769.56973525000001</v>
          </cell>
          <cell r="AN145">
            <v>782.71575654999913</v>
          </cell>
          <cell r="AO145">
            <v>2967.9681819999992</v>
          </cell>
          <cell r="AP145">
            <v>784.56854059999978</v>
          </cell>
          <cell r="AQ145">
            <v>800.93042040000023</v>
          </cell>
          <cell r="AR145">
            <v>814.00847144375007</v>
          </cell>
          <cell r="AS145">
            <v>824.74317130625036</v>
          </cell>
          <cell r="AT145">
            <v>3224.2506037500007</v>
          </cell>
        </row>
        <row r="178">
          <cell r="A178" t="str">
            <v>Operating Cash Flow</v>
          </cell>
          <cell r="B178"/>
          <cell r="C178"/>
          <cell r="D178"/>
          <cell r="E178"/>
          <cell r="F178">
            <v>683.29800000000012</v>
          </cell>
          <cell r="G178"/>
          <cell r="H178"/>
          <cell r="I178"/>
          <cell r="J178"/>
          <cell r="K178">
            <v>788.73299999999995</v>
          </cell>
          <cell r="L178">
            <v>292.79300000000001</v>
          </cell>
          <cell r="M178">
            <v>160.87300000000005</v>
          </cell>
          <cell r="N178">
            <v>237.226</v>
          </cell>
          <cell r="O178">
            <v>330.5950000000002</v>
          </cell>
          <cell r="P178">
            <v>1021.4870000000003</v>
          </cell>
          <cell r="Q178">
            <v>329.88799999999998</v>
          </cell>
          <cell r="R178">
            <v>123.78599999999994</v>
          </cell>
          <cell r="S178">
            <v>315</v>
          </cell>
          <cell r="T178">
            <v>247</v>
          </cell>
          <cell r="U178">
            <v>1015.674</v>
          </cell>
          <cell r="V178">
            <v>433</v>
          </cell>
          <cell r="W178">
            <v>161</v>
          </cell>
          <cell r="X178">
            <v>397</v>
          </cell>
          <cell r="Y178">
            <v>222</v>
          </cell>
          <cell r="Z178">
            <v>1213</v>
          </cell>
          <cell r="AA178">
            <v>274</v>
          </cell>
          <cell r="AB178">
            <v>98</v>
          </cell>
          <cell r="AC178">
            <v>252</v>
          </cell>
          <cell r="AD178">
            <v>289</v>
          </cell>
          <cell r="AE178">
            <v>913</v>
          </cell>
          <cell r="AF178">
            <v>309.52288399999998</v>
          </cell>
          <cell r="AG178">
            <v>212.61040599999976</v>
          </cell>
          <cell r="AH178">
            <v>262.67880160000004</v>
          </cell>
          <cell r="AI178">
            <v>316.7226754000003</v>
          </cell>
          <cell r="AJ178">
            <v>1101.5347670000001</v>
          </cell>
          <cell r="AK178">
            <v>431.45287761999953</v>
          </cell>
          <cell r="AL178">
            <v>205.6823549260003</v>
          </cell>
          <cell r="AM178">
            <v>323.24097464749968</v>
          </cell>
          <cell r="AN178">
            <v>448.95095195000033</v>
          </cell>
          <cell r="AO178">
            <v>1409.3271591435</v>
          </cell>
          <cell r="AP178">
            <v>414.12050075949935</v>
          </cell>
          <cell r="AQ178">
            <v>408.41155194699934</v>
          </cell>
          <cell r="AR178">
            <v>430.68668423112587</v>
          </cell>
          <cell r="AS178">
            <v>444.62835135387422</v>
          </cell>
          <cell r="AT178">
            <v>1697.8470882914989</v>
          </cell>
        </row>
        <row r="284">
          <cell r="A284" t="str">
            <v>Total Cash</v>
          </cell>
          <cell r="B284"/>
          <cell r="C284"/>
          <cell r="D284"/>
          <cell r="E284"/>
          <cell r="F284">
            <v>1586.9939999999999</v>
          </cell>
          <cell r="G284"/>
          <cell r="H284"/>
          <cell r="I284"/>
          <cell r="J284"/>
          <cell r="K284">
            <v>650.56100000000004</v>
          </cell>
          <cell r="L284">
            <v>857.86199999999997</v>
          </cell>
          <cell r="M284">
            <v>1011.0069999999999</v>
          </cell>
          <cell r="N284">
            <v>1853.373</v>
          </cell>
          <cell r="O284">
            <v>2073.0169999999998</v>
          </cell>
          <cell r="P284">
            <v>2073.0169999999998</v>
          </cell>
          <cell r="Q284">
            <v>2337.3159999999998</v>
          </cell>
          <cell r="R284">
            <v>2828.9019999999996</v>
          </cell>
          <cell r="S284">
            <v>2716.8119999999999</v>
          </cell>
          <cell r="T284">
            <v>1467</v>
          </cell>
          <cell r="U284">
            <v>1467</v>
          </cell>
          <cell r="V284">
            <v>4194</v>
          </cell>
          <cell r="W284">
            <v>2668</v>
          </cell>
          <cell r="X284">
            <v>4549</v>
          </cell>
          <cell r="Y284">
            <v>4717</v>
          </cell>
          <cell r="Z284">
            <v>4717</v>
          </cell>
          <cell r="AA284">
            <v>4907</v>
          </cell>
          <cell r="AB284">
            <v>4072</v>
          </cell>
          <cell r="AC284">
            <v>4529</v>
          </cell>
          <cell r="AD284">
            <v>4787</v>
          </cell>
          <cell r="AE284">
            <v>4787</v>
          </cell>
          <cell r="AF284">
            <v>4841.272884</v>
          </cell>
          <cell r="AG284">
            <v>4998.6332899999998</v>
          </cell>
          <cell r="AH284">
            <v>5206.0620915999998</v>
          </cell>
          <cell r="AI284">
            <v>5467.5347670000001</v>
          </cell>
          <cell r="AJ284">
            <v>5467.5347670000001</v>
          </cell>
          <cell r="AK284">
            <v>5851.2376446199996</v>
          </cell>
          <cell r="AL284">
            <v>6009.1699995460003</v>
          </cell>
          <cell r="AM284">
            <v>6284.6609741934999</v>
          </cell>
          <cell r="AN284">
            <v>6685.8619261435006</v>
          </cell>
          <cell r="AO284">
            <v>6685.8619261435006</v>
          </cell>
          <cell r="AP284">
            <v>7050.9824269029996</v>
          </cell>
          <cell r="AQ284">
            <v>7410.3939788499993</v>
          </cell>
          <cell r="AR284">
            <v>7792.0806630811248</v>
          </cell>
          <cell r="AS284">
            <v>8187.7090144349986</v>
          </cell>
          <cell r="AT284">
            <v>8187.7090144349986</v>
          </cell>
        </row>
      </sheetData>
      <sheetData sheetId="4"/>
      <sheetData sheetId="5">
        <row r="3">
          <cell r="C3" t="str">
            <v>FY1 Rel. PE</v>
          </cell>
        </row>
      </sheetData>
      <sheetData sheetId="6">
        <row r="2">
          <cell r="C2" t="str">
            <v>FY1 PEG</v>
          </cell>
        </row>
      </sheetData>
      <sheetData sheetId="7">
        <row r="2">
          <cell r="C2" t="str">
            <v>FY1 PE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FDSCACHE__"/>
      <sheetName val="Cover"/>
      <sheetName val="Summary"/>
      <sheetName val="Main"/>
      <sheetName val="BCA Estimate Summary"/>
      <sheetName val="Valuation"/>
      <sheetName val="FactSet"/>
      <sheetName val="Relative PE"/>
      <sheetName val="Updated PEG"/>
      <sheetName val="PEG Trading History"/>
      <sheetName val="PE Trading History"/>
      <sheetName val="EV.EBITDA Trading History"/>
      <sheetName val="FCF Yield Trading History"/>
      <sheetName val="737 Build"/>
      <sheetName val="747 Build"/>
      <sheetName val="767 Build"/>
      <sheetName val="777 Build"/>
      <sheetName val="787 Build"/>
      <sheetName val="737 PDP Math"/>
      <sheetName val="777X PDP Math"/>
      <sheetName val="787 PDP Math"/>
      <sheetName val="777X Learning Curve Illustratio"/>
      <sheetName val="BGS Revenue Forecast"/>
      <sheetName val="Fixed Cost Estimates"/>
      <sheetName val="BA Accounting Consideration"/>
      <sheetName val="MAX Debacle"/>
      <sheetName val="BCA Revenue Build"/>
      <sheetName val="Accrued Liabilities"/>
      <sheetName val="Sheet3"/>
      <sheetName val="MainOld"/>
      <sheetName val="BCA"/>
      <sheetName val="Backlog"/>
      <sheetName val="Cirium Pull"/>
      <sheetName val="Quarterly Analysis"/>
    </sheetNames>
    <sheetDataSet>
      <sheetData sheetId="0"/>
      <sheetData sheetId="1"/>
      <sheetData sheetId="2">
        <row r="39">
          <cell r="Z39">
            <v>1.6330202015612592</v>
          </cell>
        </row>
      </sheetData>
      <sheetData sheetId="3">
        <row r="4">
          <cell r="A4" t="str">
            <v>Period Ending</v>
          </cell>
          <cell r="B4">
            <v>42369</v>
          </cell>
          <cell r="C4">
            <v>42735</v>
          </cell>
          <cell r="D4">
            <v>43100</v>
          </cell>
          <cell r="E4">
            <v>43465</v>
          </cell>
          <cell r="F4">
            <v>43555</v>
          </cell>
          <cell r="G4">
            <v>43646</v>
          </cell>
          <cell r="H4">
            <v>43738</v>
          </cell>
          <cell r="I4">
            <v>43830</v>
          </cell>
          <cell r="J4">
            <v>43830</v>
          </cell>
          <cell r="K4">
            <v>43921</v>
          </cell>
          <cell r="L4">
            <v>44012</v>
          </cell>
          <cell r="M4">
            <v>44104</v>
          </cell>
          <cell r="N4">
            <v>44196</v>
          </cell>
          <cell r="O4">
            <v>44196</v>
          </cell>
          <cell r="P4">
            <v>44286</v>
          </cell>
          <cell r="Q4">
            <v>44377</v>
          </cell>
          <cell r="R4">
            <v>44469</v>
          </cell>
          <cell r="S4">
            <v>44561</v>
          </cell>
          <cell r="T4">
            <v>44561</v>
          </cell>
          <cell r="U4">
            <v>44651</v>
          </cell>
          <cell r="V4">
            <v>44742</v>
          </cell>
          <cell r="W4">
            <v>44834</v>
          </cell>
          <cell r="X4">
            <v>44926</v>
          </cell>
          <cell r="Y4">
            <v>44926</v>
          </cell>
          <cell r="Z4">
            <v>45291</v>
          </cell>
          <cell r="AA4">
            <v>45657</v>
          </cell>
          <cell r="AB4">
            <v>46022</v>
          </cell>
        </row>
        <row r="5">
          <cell r="A5" t="str">
            <v>Period</v>
          </cell>
          <cell r="B5">
            <v>2015</v>
          </cell>
          <cell r="C5">
            <v>2016</v>
          </cell>
          <cell r="D5">
            <v>2017</v>
          </cell>
          <cell r="E5">
            <v>2018</v>
          </cell>
          <cell r="F5" t="str">
            <v>Q1'19</v>
          </cell>
          <cell r="G5" t="str">
            <v>Q2'19</v>
          </cell>
          <cell r="H5" t="str">
            <v>Q3'19</v>
          </cell>
          <cell r="I5" t="str">
            <v>Q4'19</v>
          </cell>
          <cell r="J5">
            <v>2019</v>
          </cell>
          <cell r="K5" t="str">
            <v>Q1'20</v>
          </cell>
          <cell r="L5" t="str">
            <v>Q2'20</v>
          </cell>
          <cell r="M5" t="str">
            <v>Q3'20</v>
          </cell>
          <cell r="N5" t="str">
            <v>Q4'20</v>
          </cell>
          <cell r="O5">
            <v>2020</v>
          </cell>
          <cell r="P5" t="str">
            <v>Q1'21</v>
          </cell>
          <cell r="Q5" t="str">
            <v>Q2'21</v>
          </cell>
          <cell r="R5" t="str">
            <v>Q3'21</v>
          </cell>
          <cell r="S5" t="str">
            <v>Q4'21e</v>
          </cell>
          <cell r="T5" t="str">
            <v>2021e</v>
          </cell>
          <cell r="U5" t="str">
            <v>Q1'22e</v>
          </cell>
          <cell r="V5" t="str">
            <v>Q2'22e</v>
          </cell>
          <cell r="W5" t="str">
            <v>Q3'22e</v>
          </cell>
          <cell r="X5" t="str">
            <v>Q4'22e</v>
          </cell>
          <cell r="Y5" t="str">
            <v>2022e</v>
          </cell>
          <cell r="Z5" t="str">
            <v>2023e</v>
          </cell>
          <cell r="AA5" t="str">
            <v>2024e</v>
          </cell>
          <cell r="AB5" t="str">
            <v>2025e</v>
          </cell>
        </row>
        <row r="7">
          <cell r="A7" t="str">
            <v>Revenues:</v>
          </cell>
          <cell r="B7"/>
          <cell r="C7"/>
          <cell r="D7"/>
          <cell r="E7"/>
          <cell r="F7"/>
          <cell r="G7"/>
          <cell r="H7"/>
          <cell r="I7"/>
          <cell r="J7"/>
          <cell r="K7"/>
          <cell r="L7"/>
          <cell r="M7"/>
          <cell r="N7"/>
          <cell r="O7"/>
          <cell r="P7"/>
          <cell r="Q7"/>
          <cell r="R7"/>
        </row>
        <row r="8">
          <cell r="A8" t="str">
            <v>Commercial Airplanes</v>
          </cell>
          <cell r="B8">
            <v>59399</v>
          </cell>
          <cell r="C8">
            <v>59378</v>
          </cell>
          <cell r="D8">
            <v>54612</v>
          </cell>
          <cell r="E8">
            <v>57499</v>
          </cell>
          <cell r="F8">
            <v>11822</v>
          </cell>
          <cell r="G8">
            <v>4722</v>
          </cell>
          <cell r="H8">
            <v>8249</v>
          </cell>
          <cell r="I8">
            <v>7462</v>
          </cell>
          <cell r="J8">
            <v>32255</v>
          </cell>
          <cell r="K8">
            <v>6205</v>
          </cell>
          <cell r="L8">
            <v>1633</v>
          </cell>
          <cell r="M8">
            <v>3596</v>
          </cell>
          <cell r="N8">
            <v>4728</v>
          </cell>
          <cell r="O8">
            <v>16162</v>
          </cell>
          <cell r="P8">
            <v>4269</v>
          </cell>
          <cell r="Q8">
            <v>6015</v>
          </cell>
          <cell r="R8">
            <v>4459</v>
          </cell>
          <cell r="S8">
            <v>5105.4107000000004</v>
          </cell>
          <cell r="T8">
            <v>19848.4107</v>
          </cell>
          <cell r="U8">
            <v>6513.6637572</v>
          </cell>
          <cell r="V8">
            <v>9468.2833824000008</v>
          </cell>
          <cell r="W8">
            <v>10230.640903199999</v>
          </cell>
          <cell r="X8">
            <v>10384.443703199999</v>
          </cell>
          <cell r="Y8">
            <v>36597.031746000001</v>
          </cell>
          <cell r="Z8">
            <v>43138.476993959994</v>
          </cell>
          <cell r="AA8">
            <v>55134.321468456597</v>
          </cell>
          <cell r="AB8">
            <v>57026.290236761619</v>
          </cell>
        </row>
        <row r="9">
          <cell r="A9" t="str">
            <v>Defense, Space &amp; Security</v>
          </cell>
          <cell r="B9">
            <v>23708</v>
          </cell>
          <cell r="C9">
            <v>20180</v>
          </cell>
          <cell r="D9">
            <v>23938</v>
          </cell>
          <cell r="E9">
            <v>26300</v>
          </cell>
          <cell r="F9">
            <v>6587</v>
          </cell>
          <cell r="G9">
            <v>6579</v>
          </cell>
          <cell r="H9">
            <v>7002</v>
          </cell>
          <cell r="I9">
            <v>5927</v>
          </cell>
          <cell r="J9">
            <v>26095</v>
          </cell>
          <cell r="K9">
            <v>6042</v>
          </cell>
          <cell r="L9">
            <v>6588</v>
          </cell>
          <cell r="M9">
            <v>6848</v>
          </cell>
          <cell r="N9">
            <v>6779</v>
          </cell>
          <cell r="O9">
            <v>26257</v>
          </cell>
          <cell r="P9">
            <v>7185</v>
          </cell>
          <cell r="Q9">
            <v>6876</v>
          </cell>
          <cell r="R9">
            <v>6617</v>
          </cell>
          <cell r="S9">
            <v>6846.79</v>
          </cell>
          <cell r="T9">
            <v>27524.79</v>
          </cell>
          <cell r="U9">
            <v>6897.5999999999995</v>
          </cell>
          <cell r="V9">
            <v>6979.1399999999994</v>
          </cell>
          <cell r="W9">
            <v>7014.02</v>
          </cell>
          <cell r="X9">
            <v>7046.9018499999984</v>
          </cell>
          <cell r="Y9">
            <v>27937.661849999997</v>
          </cell>
          <cell r="Z9">
            <v>28356.726777749995</v>
          </cell>
          <cell r="AA9">
            <v>28640.294045527495</v>
          </cell>
          <cell r="AB9">
            <v>28926.69698598277</v>
          </cell>
        </row>
        <row r="10">
          <cell r="A10" t="str">
            <v>Global Services</v>
          </cell>
          <cell r="B10">
            <v>13293</v>
          </cell>
          <cell r="C10">
            <v>13819</v>
          </cell>
          <cell r="D10">
            <v>14611</v>
          </cell>
          <cell r="E10">
            <v>17056</v>
          </cell>
          <cell r="F10">
            <v>4619</v>
          </cell>
          <cell r="G10">
            <v>4543</v>
          </cell>
          <cell r="H10">
            <v>4658</v>
          </cell>
          <cell r="I10">
            <v>4648</v>
          </cell>
          <cell r="J10">
            <v>18468</v>
          </cell>
          <cell r="K10">
            <v>4628</v>
          </cell>
          <cell r="L10">
            <v>3488</v>
          </cell>
          <cell r="M10">
            <v>3694</v>
          </cell>
          <cell r="N10">
            <v>3733</v>
          </cell>
          <cell r="O10">
            <v>15543</v>
          </cell>
          <cell r="P10">
            <v>3749</v>
          </cell>
          <cell r="Q10">
            <v>4067</v>
          </cell>
          <cell r="R10">
            <v>4221</v>
          </cell>
          <cell r="S10">
            <v>4226.4949999999999</v>
          </cell>
          <cell r="T10">
            <v>16263.494999999999</v>
          </cell>
          <cell r="U10">
            <v>4213.9799999999996</v>
          </cell>
          <cell r="V10">
            <v>4401.18</v>
          </cell>
          <cell r="W10">
            <v>4423.08</v>
          </cell>
          <cell r="X10">
            <v>4510.0704999999971</v>
          </cell>
          <cell r="Y10">
            <v>17548.310499999996</v>
          </cell>
          <cell r="Z10">
            <v>19002.754149999997</v>
          </cell>
          <cell r="AA10">
            <v>19578.039857</v>
          </cell>
          <cell r="AB10">
            <v>20172.640503099996</v>
          </cell>
        </row>
        <row r="11">
          <cell r="A11" t="str">
            <v>Boeing Capital</v>
          </cell>
          <cell r="B11">
            <v>413</v>
          </cell>
          <cell r="C11">
            <v>298</v>
          </cell>
          <cell r="D11">
            <v>307</v>
          </cell>
          <cell r="E11">
            <v>274</v>
          </cell>
          <cell r="F11">
            <v>66</v>
          </cell>
          <cell r="G11">
            <v>75</v>
          </cell>
          <cell r="H11">
            <v>66</v>
          </cell>
          <cell r="I11">
            <v>37</v>
          </cell>
          <cell r="J11">
            <v>244</v>
          </cell>
          <cell r="K11">
            <v>65</v>
          </cell>
          <cell r="L11">
            <v>69</v>
          </cell>
          <cell r="M11">
            <v>71</v>
          </cell>
          <cell r="N11">
            <v>56</v>
          </cell>
          <cell r="O11">
            <v>261</v>
          </cell>
          <cell r="P11">
            <v>60</v>
          </cell>
          <cell r="Q11">
            <v>78</v>
          </cell>
          <cell r="R11">
            <v>71</v>
          </cell>
          <cell r="S11">
            <v>58.800000000000004</v>
          </cell>
          <cell r="T11">
            <v>267.8</v>
          </cell>
          <cell r="U11">
            <v>61.800000000000004</v>
          </cell>
          <cell r="V11">
            <v>80.34</v>
          </cell>
          <cell r="W11">
            <v>73.13</v>
          </cell>
          <cell r="X11">
            <v>57.885999999999996</v>
          </cell>
          <cell r="Y11">
            <v>273.15600000000001</v>
          </cell>
          <cell r="Z11">
            <v>278.61912000000001</v>
          </cell>
          <cell r="AA11">
            <v>284.19150239999999</v>
          </cell>
          <cell r="AB11">
            <v>289.87533244799999</v>
          </cell>
        </row>
        <row r="12">
          <cell r="A12" t="str">
            <v>Unallocated items, eliminations and other</v>
          </cell>
          <cell r="B12">
            <v>-699</v>
          </cell>
          <cell r="C12">
            <v>-179</v>
          </cell>
          <cell r="D12">
            <v>537</v>
          </cell>
          <cell r="E12">
            <v>-2</v>
          </cell>
          <cell r="F12">
            <v>-177</v>
          </cell>
          <cell r="G12">
            <v>-168</v>
          </cell>
          <cell r="H12">
            <v>5</v>
          </cell>
          <cell r="I12">
            <v>-163</v>
          </cell>
          <cell r="J12">
            <v>-503</v>
          </cell>
          <cell r="K12">
            <v>-32</v>
          </cell>
          <cell r="L12">
            <v>29</v>
          </cell>
          <cell r="M12">
            <v>-70</v>
          </cell>
          <cell r="N12">
            <v>8</v>
          </cell>
          <cell r="O12">
            <v>-65</v>
          </cell>
          <cell r="P12">
            <v>-46</v>
          </cell>
          <cell r="Q12">
            <v>-38</v>
          </cell>
          <cell r="R12">
            <v>-90</v>
          </cell>
          <cell r="S12">
            <v>8</v>
          </cell>
          <cell r="T12">
            <v>-166</v>
          </cell>
          <cell r="U12">
            <v>-46.46</v>
          </cell>
          <cell r="V12">
            <v>-38.380000000000003</v>
          </cell>
          <cell r="W12">
            <v>-54</v>
          </cell>
          <cell r="X12">
            <v>-28.819999999999993</v>
          </cell>
          <cell r="Y12">
            <v>-167.66</v>
          </cell>
          <cell r="Z12">
            <v>-169.3366</v>
          </cell>
          <cell r="AA12">
            <v>-171.029966</v>
          </cell>
          <cell r="AB12">
            <v>-172.74026566000001</v>
          </cell>
        </row>
        <row r="13">
          <cell r="A13" t="str">
            <v>Total Revenues</v>
          </cell>
          <cell r="B13">
            <v>96114</v>
          </cell>
          <cell r="C13">
            <v>93496</v>
          </cell>
          <cell r="D13">
            <v>94005</v>
          </cell>
          <cell r="E13">
            <v>101127</v>
          </cell>
          <cell r="F13">
            <v>22917</v>
          </cell>
          <cell r="G13">
            <v>15751</v>
          </cell>
          <cell r="H13">
            <v>19980</v>
          </cell>
          <cell r="I13">
            <v>17911</v>
          </cell>
          <cell r="J13">
            <v>76559</v>
          </cell>
          <cell r="K13">
            <v>16908</v>
          </cell>
          <cell r="L13">
            <v>11807</v>
          </cell>
          <cell r="M13">
            <v>14139</v>
          </cell>
          <cell r="N13">
            <v>15304</v>
          </cell>
          <cell r="O13">
            <v>58158</v>
          </cell>
          <cell r="P13">
            <v>15217</v>
          </cell>
          <cell r="Q13">
            <v>16998</v>
          </cell>
          <cell r="R13">
            <v>15278</v>
          </cell>
          <cell r="S13">
            <v>16245.495699999999</v>
          </cell>
          <cell r="T13">
            <v>63738.495699999999</v>
          </cell>
          <cell r="U13">
            <v>17640.583757199998</v>
          </cell>
          <cell r="V13">
            <v>20890.5633824</v>
          </cell>
          <cell r="W13">
            <v>21686.870903200001</v>
          </cell>
          <cell r="X13">
            <v>21970.482053199994</v>
          </cell>
          <cell r="Y13">
            <v>82188.500095999989</v>
          </cell>
          <cell r="Z13">
            <v>90607.24044170999</v>
          </cell>
          <cell r="AA13">
            <v>103465.81690738408</v>
          </cell>
          <cell r="AB13">
            <v>106242.76279263239</v>
          </cell>
        </row>
        <row r="29">
          <cell r="A29" t="str">
            <v>Earnings/(loss) from operations:</v>
          </cell>
          <cell r="M29"/>
          <cell r="R29"/>
          <cell r="S29"/>
          <cell r="T29"/>
          <cell r="U29"/>
          <cell r="V29"/>
          <cell r="W29"/>
          <cell r="X29"/>
          <cell r="Y29"/>
          <cell r="Z29"/>
          <cell r="AA29"/>
          <cell r="AB29"/>
        </row>
        <row r="30">
          <cell r="A30" t="str">
            <v>Commercial Airplanes</v>
          </cell>
          <cell r="B30">
            <v>4284</v>
          </cell>
          <cell r="C30">
            <v>1981</v>
          </cell>
          <cell r="D30">
            <v>5285</v>
          </cell>
          <cell r="E30">
            <v>7830</v>
          </cell>
          <cell r="F30">
            <v>1173</v>
          </cell>
          <cell r="G30">
            <v>-4946</v>
          </cell>
          <cell r="H30">
            <v>-40</v>
          </cell>
          <cell r="I30">
            <v>-2844</v>
          </cell>
          <cell r="J30">
            <v>-6657</v>
          </cell>
          <cell r="K30">
            <v>-2068</v>
          </cell>
          <cell r="L30">
            <v>-2762</v>
          </cell>
          <cell r="M30">
            <v>-1369</v>
          </cell>
          <cell r="N30">
            <v>-7648</v>
          </cell>
          <cell r="O30">
            <v>-13847</v>
          </cell>
          <cell r="P30">
            <v>-856</v>
          </cell>
          <cell r="Q30">
            <v>-472</v>
          </cell>
          <cell r="R30">
            <v>-693</v>
          </cell>
          <cell r="S30">
            <v>-713.7726515881709</v>
          </cell>
          <cell r="T30">
            <v>-2734.7726515881709</v>
          </cell>
          <cell r="U30">
            <v>-417.16519679780959</v>
          </cell>
          <cell r="V30">
            <v>-208.61168615725629</v>
          </cell>
          <cell r="W30">
            <v>-147.56875863540583</v>
          </cell>
          <cell r="X30">
            <v>-69.984251635405926</v>
          </cell>
          <cell r="Y30">
            <v>-843.32989322587764</v>
          </cell>
          <cell r="Z30">
            <v>699.10055006518917</v>
          </cell>
          <cell r="AA30">
            <v>2655.3015904134227</v>
          </cell>
          <cell r="AB30">
            <v>3266.2700140010056</v>
          </cell>
        </row>
        <row r="31">
          <cell r="A31" t="str">
            <v>Defense, Space &amp; Security</v>
          </cell>
          <cell r="B31">
            <v>2312</v>
          </cell>
          <cell r="C31">
            <v>1678</v>
          </cell>
          <cell r="D31">
            <v>2383</v>
          </cell>
          <cell r="E31">
            <v>1692</v>
          </cell>
          <cell r="F31">
            <v>852</v>
          </cell>
          <cell r="G31">
            <v>975</v>
          </cell>
          <cell r="H31">
            <v>754</v>
          </cell>
          <cell r="I31">
            <v>34</v>
          </cell>
          <cell r="J31">
            <v>2615</v>
          </cell>
          <cell r="K31">
            <v>-191</v>
          </cell>
          <cell r="L31">
            <v>600</v>
          </cell>
          <cell r="M31">
            <v>628</v>
          </cell>
          <cell r="N31">
            <v>502</v>
          </cell>
          <cell r="O31">
            <v>1539</v>
          </cell>
          <cell r="P31">
            <v>405</v>
          </cell>
          <cell r="Q31">
            <v>958</v>
          </cell>
          <cell r="R31">
            <v>436</v>
          </cell>
          <cell r="S31">
            <v>616.21109999999999</v>
          </cell>
          <cell r="T31">
            <v>2415.2111</v>
          </cell>
          <cell r="U31">
            <v>655.27199999999993</v>
          </cell>
          <cell r="V31">
            <v>663.01829999999995</v>
          </cell>
          <cell r="W31">
            <v>666.33190000000002</v>
          </cell>
          <cell r="X31">
            <v>669.45567574999995</v>
          </cell>
          <cell r="Y31">
            <v>2654.0778757499997</v>
          </cell>
          <cell r="Z31">
            <v>2552.1054099974995</v>
          </cell>
          <cell r="AA31">
            <v>2577.6264640974746</v>
          </cell>
          <cell r="AB31">
            <v>2603.4027287384492</v>
          </cell>
        </row>
        <row r="32">
          <cell r="A32" t="str">
            <v>Global Services</v>
          </cell>
          <cell r="B32">
            <v>1835</v>
          </cell>
          <cell r="C32">
            <v>2159</v>
          </cell>
          <cell r="D32">
            <v>2251</v>
          </cell>
          <cell r="E32">
            <v>2536</v>
          </cell>
          <cell r="F32">
            <v>653</v>
          </cell>
          <cell r="G32">
            <v>687</v>
          </cell>
          <cell r="H32">
            <v>673</v>
          </cell>
          <cell r="I32">
            <v>684</v>
          </cell>
          <cell r="J32">
            <v>2697</v>
          </cell>
          <cell r="K32">
            <v>708</v>
          </cell>
          <cell r="L32">
            <v>-672</v>
          </cell>
          <cell r="M32">
            <v>271</v>
          </cell>
          <cell r="N32">
            <v>143</v>
          </cell>
          <cell r="O32">
            <v>450</v>
          </cell>
          <cell r="P32">
            <v>441</v>
          </cell>
          <cell r="Q32">
            <v>531</v>
          </cell>
          <cell r="R32">
            <v>644</v>
          </cell>
          <cell r="S32">
            <v>633.97424999999998</v>
          </cell>
          <cell r="T32">
            <v>2249.9742500000002</v>
          </cell>
          <cell r="U32">
            <v>653.16689999999994</v>
          </cell>
          <cell r="V32">
            <v>704.18880000000001</v>
          </cell>
          <cell r="W32">
            <v>729.80820000000006</v>
          </cell>
          <cell r="X32">
            <v>720.56577999999945</v>
          </cell>
          <cell r="Y32">
            <v>2807.7296799999995</v>
          </cell>
          <cell r="Z32">
            <v>3230.4682054999998</v>
          </cell>
          <cell r="AA32">
            <v>3328.26677569</v>
          </cell>
          <cell r="AB32">
            <v>3429.3488855269998</v>
          </cell>
        </row>
        <row r="33">
          <cell r="A33" t="str">
            <v>Boeing Capital</v>
          </cell>
          <cell r="B33">
            <v>50</v>
          </cell>
          <cell r="C33">
            <v>59</v>
          </cell>
          <cell r="D33">
            <v>114</v>
          </cell>
          <cell r="E33">
            <v>79</v>
          </cell>
          <cell r="F33">
            <v>20</v>
          </cell>
          <cell r="G33">
            <v>37</v>
          </cell>
          <cell r="H33">
            <v>29</v>
          </cell>
          <cell r="I33">
            <v>-58</v>
          </cell>
          <cell r="J33">
            <v>28</v>
          </cell>
          <cell r="K33">
            <v>24</v>
          </cell>
          <cell r="L33">
            <v>-7</v>
          </cell>
          <cell r="M33">
            <v>30</v>
          </cell>
          <cell r="N33">
            <v>16</v>
          </cell>
          <cell r="O33">
            <v>63</v>
          </cell>
          <cell r="P33">
            <v>21</v>
          </cell>
          <cell r="Q33">
            <v>36</v>
          </cell>
          <cell r="R33">
            <v>42</v>
          </cell>
          <cell r="S33">
            <v>23.520000000000003</v>
          </cell>
          <cell r="T33">
            <v>122.52000000000001</v>
          </cell>
          <cell r="U33">
            <v>18.54</v>
          </cell>
          <cell r="V33">
            <v>24.102</v>
          </cell>
          <cell r="W33">
            <v>21.938999999999997</v>
          </cell>
          <cell r="X33">
            <v>17.365800000000007</v>
          </cell>
          <cell r="Y33">
            <v>81.946799999999996</v>
          </cell>
          <cell r="Z33">
            <v>55.723824000000008</v>
          </cell>
          <cell r="AA33">
            <v>56.838300480000001</v>
          </cell>
          <cell r="AB33">
            <v>57.975066489600003</v>
          </cell>
        </row>
        <row r="34">
          <cell r="A34" t="str">
            <v>Segment operating earnings/(loss)</v>
          </cell>
          <cell r="B34">
            <v>8481</v>
          </cell>
          <cell r="C34">
            <v>5877</v>
          </cell>
          <cell r="D34">
            <v>10033</v>
          </cell>
          <cell r="E34">
            <v>12137</v>
          </cell>
          <cell r="F34">
            <v>2698</v>
          </cell>
          <cell r="G34">
            <v>-3247</v>
          </cell>
          <cell r="H34">
            <v>1416</v>
          </cell>
          <cell r="I34">
            <v>-2184</v>
          </cell>
          <cell r="J34">
            <v>-1317</v>
          </cell>
          <cell r="K34">
            <v>-1527</v>
          </cell>
          <cell r="L34">
            <v>-2841</v>
          </cell>
          <cell r="M34">
            <v>-440</v>
          </cell>
          <cell r="N34">
            <v>-6987</v>
          </cell>
          <cell r="O34">
            <v>-11795</v>
          </cell>
          <cell r="P34">
            <v>11</v>
          </cell>
          <cell r="Q34">
            <v>1053</v>
          </cell>
          <cell r="R34">
            <v>429</v>
          </cell>
          <cell r="S34">
            <v>559.93269841182905</v>
          </cell>
          <cell r="T34">
            <v>2052.9326984118293</v>
          </cell>
          <cell r="U34">
            <v>909.81370320219025</v>
          </cell>
          <cell r="V34">
            <v>1182.6974138427438</v>
          </cell>
          <cell r="W34">
            <v>1270.5103413645943</v>
          </cell>
          <cell r="X34">
            <v>1337.4030041145934</v>
          </cell>
          <cell r="Y34">
            <v>4700.4244625241208</v>
          </cell>
          <cell r="Z34">
            <v>6537.3979895626881</v>
          </cell>
          <cell r="AA34">
            <v>8618.0331306808966</v>
          </cell>
          <cell r="AB34">
            <v>9356.9966947560551</v>
          </cell>
        </row>
        <row r="35">
          <cell r="B35"/>
          <cell r="C35"/>
          <cell r="D35"/>
          <cell r="E35"/>
          <cell r="J35"/>
          <cell r="M35"/>
          <cell r="O35"/>
          <cell r="R35"/>
          <cell r="S35"/>
          <cell r="T35"/>
          <cell r="U35"/>
          <cell r="V35"/>
          <cell r="W35"/>
          <cell r="X35"/>
          <cell r="Y35"/>
          <cell r="Z35"/>
          <cell r="AA35"/>
          <cell r="AB35"/>
        </row>
        <row r="36">
          <cell r="A36" t="str">
            <v>Commercial Airplanes Operating Margin</v>
          </cell>
          <cell r="B36">
            <v>7.2122426303473125E-2</v>
          </cell>
          <cell r="C36">
            <v>3.3362524840850144E-2</v>
          </cell>
          <cell r="D36">
            <v>9.677360287116385E-2</v>
          </cell>
          <cell r="E36">
            <v>0.13617628132663176</v>
          </cell>
          <cell r="F36">
            <v>9.9221789883268477E-2</v>
          </cell>
          <cell r="G36">
            <v>-1.0474375264718341</v>
          </cell>
          <cell r="H36">
            <v>-4.8490726148624078E-3</v>
          </cell>
          <cell r="I36">
            <v>-0.38113106405789332</v>
          </cell>
          <cell r="J36">
            <v>-0.20638660672763912</v>
          </cell>
          <cell r="K36">
            <v>-0.3332796132151491</v>
          </cell>
          <cell r="L36">
            <v>-1.6913655848132272</v>
          </cell>
          <cell r="M36">
            <v>-0.38070077864293661</v>
          </cell>
          <cell r="N36">
            <v>-1.6175972927241962</v>
          </cell>
          <cell r="O36">
            <v>-0.856762776884049</v>
          </cell>
          <cell r="P36">
            <v>-0.20051534317170297</v>
          </cell>
          <cell r="Q36">
            <v>-7.8470490440565255E-2</v>
          </cell>
          <cell r="R36">
            <v>-0.15541601255886969</v>
          </cell>
          <cell r="S36">
            <v>-0.13980709751483281</v>
          </cell>
          <cell r="T36">
            <v>-0.13778295365422738</v>
          </cell>
          <cell r="U36">
            <v>-6.4044631769131194E-2</v>
          </cell>
          <cell r="V36">
            <v>-2.2032682982960933E-2</v>
          </cell>
          <cell r="W36">
            <v>-1.4424194928906987E-2</v>
          </cell>
          <cell r="X36">
            <v>-6.7393356481715103E-3</v>
          </cell>
          <cell r="Y36">
            <v>-2.3043669199157176E-2</v>
          </cell>
          <cell r="Z36">
            <v>1.6205962722399155E-2</v>
          </cell>
          <cell r="AA36">
            <v>4.8160592525520997E-2</v>
          </cell>
          <cell r="AB36">
            <v>5.7276564904364523E-2</v>
          </cell>
        </row>
        <row r="37">
          <cell r="A37" t="str">
            <v>Defense, Space &amp; Security Operating Margin</v>
          </cell>
          <cell r="B37">
            <v>9.7519824531803606E-2</v>
          </cell>
          <cell r="C37">
            <v>8.3151635282457878E-2</v>
          </cell>
          <cell r="D37">
            <v>9.9548834489096835E-2</v>
          </cell>
          <cell r="E37">
            <v>6.4334600760456273E-2</v>
          </cell>
          <cell r="F37">
            <v>0.12934568088659482</v>
          </cell>
          <cell r="G37">
            <v>0.14819881440948474</v>
          </cell>
          <cell r="H37">
            <v>0.10768351899457299</v>
          </cell>
          <cell r="I37">
            <v>5.7364602665766831E-3</v>
          </cell>
          <cell r="J37">
            <v>0.10021076834642652</v>
          </cell>
          <cell r="K37">
            <v>-3.1612048990400529E-2</v>
          </cell>
          <cell r="L37">
            <v>9.107468123861566E-2</v>
          </cell>
          <cell r="M37">
            <v>9.1705607476635517E-2</v>
          </cell>
          <cell r="N37">
            <v>7.4052220091458912E-2</v>
          </cell>
          <cell r="O37">
            <v>5.8612941310888525E-2</v>
          </cell>
          <cell r="P37">
            <v>5.6367432150313153E-2</v>
          </cell>
          <cell r="Q37">
            <v>0.13932518906340896</v>
          </cell>
          <cell r="R37">
            <v>6.5890887108961765E-2</v>
          </cell>
          <cell r="S37">
            <v>0.09</v>
          </cell>
          <cell r="T37">
            <v>8.7746758467548702E-2</v>
          </cell>
          <cell r="U37">
            <v>9.5000000000000001E-2</v>
          </cell>
          <cell r="V37">
            <v>9.5000000000000001E-2</v>
          </cell>
          <cell r="W37">
            <v>9.5000000000000001E-2</v>
          </cell>
          <cell r="X37">
            <v>9.5000000000000015E-2</v>
          </cell>
          <cell r="Y37">
            <v>9.5000000000000001E-2</v>
          </cell>
          <cell r="Z37">
            <v>0.09</v>
          </cell>
          <cell r="AA37">
            <v>0.09</v>
          </cell>
          <cell r="AB37">
            <v>0.09</v>
          </cell>
        </row>
        <row r="38">
          <cell r="A38" t="str">
            <v>Global Services Operating Margin</v>
          </cell>
          <cell r="B38">
            <v>0.13804257880087265</v>
          </cell>
          <cell r="C38">
            <v>0.15623417034517692</v>
          </cell>
          <cell r="D38">
            <v>0.15406200807610704</v>
          </cell>
          <cell r="E38">
            <v>0.14868667917448405</v>
          </cell>
          <cell r="F38">
            <v>0.14137259147001516</v>
          </cell>
          <cell r="G38">
            <v>0.15122165969623597</v>
          </cell>
          <cell r="H38">
            <v>0.14448261056247316</v>
          </cell>
          <cell r="I38">
            <v>0.14716006884681584</v>
          </cell>
          <cell r="J38">
            <v>0.14603638726445745</v>
          </cell>
          <cell r="K38">
            <v>0.15298184961106309</v>
          </cell>
          <cell r="L38">
            <v>-0.19266055045871561</v>
          </cell>
          <cell r="M38">
            <v>7.3362208987547375E-2</v>
          </cell>
          <cell r="N38">
            <v>3.8306991695687118E-2</v>
          </cell>
          <cell r="O38">
            <v>2.8951939779965258E-2</v>
          </cell>
          <cell r="P38">
            <v>0.11763136836489731</v>
          </cell>
          <cell r="Q38">
            <v>0.13056306860093436</v>
          </cell>
          <cell r="R38">
            <v>0.15257048092868988</v>
          </cell>
          <cell r="S38">
            <v>0.15</v>
          </cell>
          <cell r="T38">
            <v>0.13834506359180485</v>
          </cell>
          <cell r="U38">
            <v>0.155</v>
          </cell>
          <cell r="V38">
            <v>0.16</v>
          </cell>
          <cell r="W38">
            <v>0.16500000000000001</v>
          </cell>
          <cell r="X38">
            <v>0.15976818544189053</v>
          </cell>
          <cell r="Y38">
            <v>0.16</v>
          </cell>
          <cell r="Z38">
            <v>0.17</v>
          </cell>
          <cell r="AA38">
            <v>0.17</v>
          </cell>
          <cell r="AB38">
            <v>0.17</v>
          </cell>
        </row>
        <row r="39">
          <cell r="A39" t="str">
            <v>Boeing Capital Operating Margin</v>
          </cell>
          <cell r="B39">
            <v>0.12106537530266344</v>
          </cell>
          <cell r="C39">
            <v>0.19798657718120805</v>
          </cell>
          <cell r="D39">
            <v>0.37133550488599348</v>
          </cell>
          <cell r="E39">
            <v>0.28832116788321166</v>
          </cell>
          <cell r="F39">
            <v>0.30303030303030304</v>
          </cell>
          <cell r="G39">
            <v>0.49333333333333335</v>
          </cell>
          <cell r="H39">
            <v>0.43939393939393939</v>
          </cell>
          <cell r="I39">
            <v>-1.5675675675675675</v>
          </cell>
          <cell r="J39">
            <v>0.11475409836065574</v>
          </cell>
          <cell r="K39">
            <v>0.36923076923076925</v>
          </cell>
          <cell r="L39">
            <v>-0.10144927536231885</v>
          </cell>
          <cell r="M39">
            <v>0.42253521126760563</v>
          </cell>
          <cell r="N39">
            <v>0.2857142857142857</v>
          </cell>
          <cell r="O39">
            <v>0.2413793103448276</v>
          </cell>
          <cell r="P39">
            <v>0.35</v>
          </cell>
          <cell r="Q39">
            <v>0.46153846153846156</v>
          </cell>
          <cell r="R39">
            <v>0.59154929577464788</v>
          </cell>
          <cell r="S39">
            <v>0.4</v>
          </cell>
          <cell r="T39">
            <v>0.45750560119492162</v>
          </cell>
          <cell r="U39">
            <v>0.3</v>
          </cell>
          <cell r="V39">
            <v>0.3</v>
          </cell>
          <cell r="W39">
            <v>0.3</v>
          </cell>
          <cell r="X39">
            <v>0.30000000000000016</v>
          </cell>
          <cell r="Y39">
            <v>0.3</v>
          </cell>
          <cell r="Z39">
            <v>0.2</v>
          </cell>
          <cell r="AA39">
            <v>0.2</v>
          </cell>
          <cell r="AB39">
            <v>0.2</v>
          </cell>
        </row>
        <row r="40">
          <cell r="A40" t="str">
            <v>Total Segment Operating Margin</v>
          </cell>
          <cell r="B40">
            <v>8.8238966227604715E-2</v>
          </cell>
          <cell r="C40">
            <v>6.2858304098571058E-2</v>
          </cell>
          <cell r="D40">
            <v>0.10672836551247274</v>
          </cell>
          <cell r="E40">
            <v>0.12001740385851455</v>
          </cell>
          <cell r="F40">
            <v>0.11772919666623032</v>
          </cell>
          <cell r="G40">
            <v>-0.20614564154656848</v>
          </cell>
          <cell r="H40">
            <v>7.0870870870870864E-2</v>
          </cell>
          <cell r="I40">
            <v>-0.12193624029925744</v>
          </cell>
          <cell r="J40">
            <v>-1.7202419049360623E-2</v>
          </cell>
          <cell r="K40">
            <v>-9.031227821149751E-2</v>
          </cell>
          <cell r="L40">
            <v>-0.24061997120352333</v>
          </cell>
          <cell r="M40">
            <v>-3.1119598274276822E-2</v>
          </cell>
          <cell r="N40">
            <v>-0.45654730789336123</v>
          </cell>
          <cell r="O40">
            <v>-0.20280958767495444</v>
          </cell>
          <cell r="P40">
            <v>7.2287573109022806E-4</v>
          </cell>
          <cell r="Q40">
            <v>6.1948464525238264E-2</v>
          </cell>
          <cell r="R40">
            <v>2.8079591569577171E-2</v>
          </cell>
          <cell r="S40">
            <v>3.446695063985207E-2</v>
          </cell>
          <cell r="T40">
            <v>3.2208678222881704E-2</v>
          </cell>
          <cell r="U40">
            <v>5.1575033781455795E-2</v>
          </cell>
          <cell r="V40">
            <v>5.6613954932357137E-2</v>
          </cell>
          <cell r="W40">
            <v>5.8584308775367147E-2</v>
          </cell>
          <cell r="X40">
            <v>6.0872720083071687E-2</v>
          </cell>
          <cell r="Y40">
            <v>5.7190780425896648E-2</v>
          </cell>
          <cell r="Z40">
            <v>7.2150944645183929E-2</v>
          </cell>
          <cell r="AA40">
            <v>8.3293530059258158E-2</v>
          </cell>
          <cell r="AB40">
            <v>8.8071850249407613E-2</v>
          </cell>
        </row>
        <row r="54">
          <cell r="A54" t="str">
            <v>Core Earnings/(Loss) from Operations</v>
          </cell>
          <cell r="B54">
            <v>7741</v>
          </cell>
          <cell r="C54">
            <v>5170</v>
          </cell>
          <cell r="D54">
            <v>8906</v>
          </cell>
          <cell r="E54">
            <v>10660</v>
          </cell>
          <cell r="F54">
            <v>1986</v>
          </cell>
          <cell r="G54">
            <v>-3745</v>
          </cell>
          <cell r="H54">
            <v>895</v>
          </cell>
          <cell r="I54">
            <v>-2526</v>
          </cell>
          <cell r="J54">
            <v>-3390</v>
          </cell>
          <cell r="K54">
            <v>-1700</v>
          </cell>
          <cell r="L54">
            <v>-3319</v>
          </cell>
          <cell r="M54">
            <v>-754</v>
          </cell>
          <cell r="N54">
            <v>-8377</v>
          </cell>
          <cell r="O54">
            <v>-14150</v>
          </cell>
          <cell r="P54">
            <v>-353</v>
          </cell>
          <cell r="Q54">
            <v>755</v>
          </cell>
          <cell r="R54">
            <v>59</v>
          </cell>
          <cell r="S54">
            <v>242.93269841182905</v>
          </cell>
          <cell r="T54">
            <v>703.93269841182928</v>
          </cell>
          <cell r="U54">
            <v>578.08366356921852</v>
          </cell>
          <cell r="V54">
            <v>850.96737420977206</v>
          </cell>
          <cell r="W54">
            <v>938.78030173162256</v>
          </cell>
          <cell r="X54">
            <v>1005.6729644816216</v>
          </cell>
          <cell r="Y54">
            <v>3373.5043039922339</v>
          </cell>
          <cell r="Z54">
            <v>5109.868480885485</v>
          </cell>
          <cell r="AA54">
            <v>7040.0724355289349</v>
          </cell>
          <cell r="AB54">
            <v>7741.316423553184</v>
          </cell>
        </row>
        <row r="55">
          <cell r="A55" t="str">
            <v>Core Earnings/(Loss) from Operations Margin</v>
          </cell>
          <cell r="B55">
            <v>8.0539775683043047E-2</v>
          </cell>
          <cell r="C55">
            <v>5.5296483272011636E-2</v>
          </cell>
          <cell r="D55">
            <v>9.4739641508430408E-2</v>
          </cell>
          <cell r="E55">
            <v>0.10541200668466384</v>
          </cell>
          <cell r="F55">
            <v>8.6660557664615792E-2</v>
          </cell>
          <cell r="G55">
            <v>-0.23776268173449305</v>
          </cell>
          <cell r="H55">
            <v>4.4794794794794791E-2</v>
          </cell>
          <cell r="I55">
            <v>-0.1410306515549104</v>
          </cell>
          <cell r="J55">
            <v>-4.4279575229561517E-2</v>
          </cell>
          <cell r="K55">
            <v>-0.10054412112609416</v>
          </cell>
          <cell r="L55">
            <v>-0.28110442957567544</v>
          </cell>
          <cell r="M55">
            <v>-5.3327675224556191E-2</v>
          </cell>
          <cell r="N55">
            <v>-0.54737323575535812</v>
          </cell>
          <cell r="O55">
            <v>-0.2433027270538877</v>
          </cell>
          <cell r="P55">
            <v>-2.3197739370440954E-2</v>
          </cell>
          <cell r="Q55">
            <v>4.4416990234145193E-2</v>
          </cell>
          <cell r="R55">
            <v>3.8617620107343894E-3</v>
          </cell>
          <cell r="S55">
            <v>1.4953849540696321E-2</v>
          </cell>
          <cell r="T55">
            <v>1.1044074553077808E-2</v>
          </cell>
          <cell r="U55">
            <v>3.2770098287324183E-2</v>
          </cell>
          <cell r="V55">
            <v>4.0734534470559081E-2</v>
          </cell>
          <cell r="W55">
            <v>4.3287955460328813E-2</v>
          </cell>
          <cell r="X55">
            <v>4.5773823352917541E-2</v>
          </cell>
          <cell r="Y55">
            <v>4.1045940734431512E-2</v>
          </cell>
          <cell r="Z55">
            <v>5.639580739877844E-2</v>
          </cell>
          <cell r="AA55">
            <v>6.8042496023887317E-2</v>
          </cell>
          <cell r="AB55">
            <v>7.2864411843872157E-2</v>
          </cell>
        </row>
        <row r="88">
          <cell r="A88" t="str">
            <v>Core Diluted EPS Attributable to Boeing Common</v>
          </cell>
          <cell r="B88">
            <v>7.7204316546762586</v>
          </cell>
          <cell r="C88">
            <v>6.9378500311138769</v>
          </cell>
          <cell r="D88">
            <v>12.329836065573771</v>
          </cell>
          <cell r="E88">
            <v>16.005960717335611</v>
          </cell>
          <cell r="F88">
            <v>3.1642182581322142</v>
          </cell>
          <cell r="G88">
            <v>-5.8156012041792113</v>
          </cell>
          <cell r="H88">
            <v>1.454977136827295</v>
          </cell>
          <cell r="I88">
            <v>-2.3323477337110483</v>
          </cell>
          <cell r="J88">
            <v>-3.4750265298903433</v>
          </cell>
          <cell r="K88">
            <v>-1.6989564909798374</v>
          </cell>
          <cell r="L88">
            <v>-4.7919243682629444</v>
          </cell>
          <cell r="M88">
            <v>-1.3890302066772653</v>
          </cell>
          <cell r="N88">
            <v>-15.245059151009048</v>
          </cell>
          <cell r="O88">
            <v>-23.252778754836442</v>
          </cell>
          <cell r="P88">
            <v>-1.5283418803418802</v>
          </cell>
          <cell r="Q88">
            <v>0.39518480840963033</v>
          </cell>
          <cell r="R88">
            <v>-0.59454638124362891</v>
          </cell>
          <cell r="S88">
            <v>-0.42595861173124983</v>
          </cell>
          <cell r="T88">
            <v>-2.144151015835452</v>
          </cell>
          <cell r="U88">
            <v>3.338423187389452E-2</v>
          </cell>
          <cell r="V88">
            <v>0.40933514186689529</v>
          </cell>
          <cell r="W88">
            <v>0.54231758064205249</v>
          </cell>
          <cell r="X88">
            <v>0.64694878364665642</v>
          </cell>
          <cell r="Y88">
            <v>1.6330202015612592</v>
          </cell>
          <cell r="Z88">
            <v>4.3733408955597106</v>
          </cell>
          <cell r="AA88">
            <v>7.6884558049876759</v>
          </cell>
          <cell r="AB88">
            <v>9.2202118773013844</v>
          </cell>
        </row>
        <row r="90">
          <cell r="A90" t="str">
            <v>Dividends Per Share</v>
          </cell>
          <cell r="B90">
            <v>3.64</v>
          </cell>
          <cell r="C90">
            <v>4.3600000000000003</v>
          </cell>
          <cell r="D90">
            <v>5.68</v>
          </cell>
          <cell r="E90">
            <v>6.84</v>
          </cell>
          <cell r="F90">
            <v>2.0550000000000002</v>
          </cell>
          <cell r="G90">
            <v>2.0550000000000002</v>
          </cell>
          <cell r="H90">
            <v>2.0550000000000002</v>
          </cell>
          <cell r="I90">
            <v>2.0550000000000002</v>
          </cell>
          <cell r="J90">
            <v>8.2200000000000006</v>
          </cell>
          <cell r="K90">
            <v>2.0550000000000002</v>
          </cell>
          <cell r="L90"/>
          <cell r="M90"/>
          <cell r="N90"/>
          <cell r="O90">
            <v>2.0550000000000002</v>
          </cell>
          <cell r="P90"/>
          <cell r="Q90"/>
          <cell r="R90"/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2</v>
          </cell>
          <cell r="AA90">
            <v>4</v>
          </cell>
          <cell r="AB90">
            <v>6</v>
          </cell>
        </row>
        <row r="244">
          <cell r="A244" t="str">
            <v>Gross Debt</v>
          </cell>
          <cell r="B244">
            <v>9964</v>
          </cell>
          <cell r="C244">
            <v>9952</v>
          </cell>
          <cell r="D244">
            <v>11117</v>
          </cell>
          <cell r="E244">
            <v>13847</v>
          </cell>
          <cell r="F244">
            <v>14744</v>
          </cell>
          <cell r="G244">
            <v>19216</v>
          </cell>
          <cell r="H244">
            <v>24652</v>
          </cell>
          <cell r="I244">
            <v>27302</v>
          </cell>
          <cell r="J244">
            <v>27302</v>
          </cell>
          <cell r="K244">
            <v>38927</v>
          </cell>
          <cell r="L244">
            <v>61379</v>
          </cell>
          <cell r="M244">
            <v>60959</v>
          </cell>
          <cell r="N244">
            <v>63583</v>
          </cell>
          <cell r="O244">
            <v>63583</v>
          </cell>
          <cell r="P244">
            <v>63575</v>
          </cell>
          <cell r="Q244">
            <v>63559</v>
          </cell>
          <cell r="R244">
            <v>62419</v>
          </cell>
          <cell r="S244">
            <v>62419</v>
          </cell>
          <cell r="T244">
            <v>62419</v>
          </cell>
          <cell r="U244">
            <v>61919</v>
          </cell>
          <cell r="V244">
            <v>61419</v>
          </cell>
          <cell r="W244">
            <v>60419</v>
          </cell>
          <cell r="X244">
            <v>59419</v>
          </cell>
          <cell r="Y244">
            <v>59419</v>
          </cell>
          <cell r="Z244">
            <v>51419</v>
          </cell>
          <cell r="AA244">
            <v>39419</v>
          </cell>
          <cell r="AB244">
            <v>29419</v>
          </cell>
        </row>
        <row r="245">
          <cell r="A245" t="str">
            <v>Cash</v>
          </cell>
          <cell r="B245">
            <v>11302</v>
          </cell>
          <cell r="C245">
            <v>8801</v>
          </cell>
          <cell r="D245">
            <v>8813</v>
          </cell>
          <cell r="E245">
            <v>7637</v>
          </cell>
          <cell r="F245">
            <v>6836</v>
          </cell>
          <cell r="G245">
            <v>9167</v>
          </cell>
          <cell r="H245">
            <v>9763</v>
          </cell>
          <cell r="I245">
            <v>9485</v>
          </cell>
          <cell r="J245">
            <v>9485</v>
          </cell>
          <cell r="K245">
            <v>15039</v>
          </cell>
          <cell r="L245">
            <v>19992</v>
          </cell>
          <cell r="M245">
            <v>10564</v>
          </cell>
          <cell r="N245">
            <v>7752</v>
          </cell>
          <cell r="O245">
            <v>7752</v>
          </cell>
          <cell r="P245">
            <v>7059</v>
          </cell>
          <cell r="Q245">
            <v>8271</v>
          </cell>
          <cell r="R245">
            <v>9764</v>
          </cell>
          <cell r="S245">
            <v>10648.701344795512</v>
          </cell>
          <cell r="T245">
            <v>10648.701344795512</v>
          </cell>
          <cell r="U245">
            <v>10091.177590413237</v>
          </cell>
          <cell r="V245">
            <v>10738.457236273669</v>
          </cell>
          <cell r="W245">
            <v>10368.591501745563</v>
          </cell>
          <cell r="X245">
            <v>9902.3920048171531</v>
          </cell>
          <cell r="Y245">
            <v>9902.3920048171531</v>
          </cell>
          <cell r="Z245">
            <v>13785.402338027761</v>
          </cell>
          <cell r="AA245">
            <v>17092.449501127834</v>
          </cell>
          <cell r="AB245">
            <v>13815.647980715752</v>
          </cell>
        </row>
        <row r="246">
          <cell r="A246" t="str">
            <v>Short-Term &amp; Other Investments</v>
          </cell>
          <cell r="B246">
            <v>750</v>
          </cell>
          <cell r="C246">
            <v>1228</v>
          </cell>
          <cell r="D246">
            <v>1179</v>
          </cell>
          <cell r="E246">
            <v>927</v>
          </cell>
          <cell r="F246">
            <v>893</v>
          </cell>
          <cell r="G246">
            <v>439</v>
          </cell>
          <cell r="H246">
            <v>1150</v>
          </cell>
          <cell r="I246">
            <v>545</v>
          </cell>
          <cell r="J246">
            <v>545</v>
          </cell>
          <cell r="K246">
            <v>488</v>
          </cell>
          <cell r="L246">
            <v>12438</v>
          </cell>
          <cell r="M246">
            <v>16552</v>
          </cell>
          <cell r="N246">
            <v>17838</v>
          </cell>
          <cell r="O246">
            <v>17838</v>
          </cell>
          <cell r="P246">
            <v>14861</v>
          </cell>
          <cell r="Q246">
            <v>13071</v>
          </cell>
          <cell r="R246">
            <v>10231</v>
          </cell>
          <cell r="S246">
            <v>10231</v>
          </cell>
          <cell r="T246">
            <v>10231</v>
          </cell>
          <cell r="U246">
            <v>10231</v>
          </cell>
          <cell r="V246">
            <v>10231</v>
          </cell>
          <cell r="W246">
            <v>10231</v>
          </cell>
          <cell r="X246">
            <v>10231</v>
          </cell>
          <cell r="Y246">
            <v>10231</v>
          </cell>
          <cell r="Z246">
            <v>10231</v>
          </cell>
          <cell r="AA246">
            <v>10231</v>
          </cell>
          <cell r="AB246">
            <v>10231</v>
          </cell>
        </row>
        <row r="247">
          <cell r="A247" t="str">
            <v>Net Debt/(Net Cash)</v>
          </cell>
          <cell r="B247">
            <v>-2088</v>
          </cell>
          <cell r="C247">
            <v>-77</v>
          </cell>
          <cell r="D247">
            <v>1125</v>
          </cell>
          <cell r="E247">
            <v>5283</v>
          </cell>
          <cell r="F247">
            <v>7015</v>
          </cell>
          <cell r="G247">
            <v>9610</v>
          </cell>
          <cell r="H247">
            <v>13739</v>
          </cell>
          <cell r="I247">
            <v>17272</v>
          </cell>
          <cell r="J247">
            <v>17272</v>
          </cell>
          <cell r="K247">
            <v>23400</v>
          </cell>
          <cell r="L247">
            <v>28949</v>
          </cell>
          <cell r="M247">
            <v>33843</v>
          </cell>
          <cell r="N247">
            <v>37993</v>
          </cell>
          <cell r="O247">
            <v>37993</v>
          </cell>
          <cell r="P247">
            <v>41655</v>
          </cell>
          <cell r="Q247">
            <v>42217</v>
          </cell>
          <cell r="R247">
            <v>42424</v>
          </cell>
          <cell r="S247">
            <v>41539.298655204489</v>
          </cell>
          <cell r="T247">
            <v>41539.298655204489</v>
          </cell>
          <cell r="U247">
            <v>41596.822409586763</v>
          </cell>
          <cell r="V247">
            <v>40449.542763726335</v>
          </cell>
          <cell r="W247">
            <v>39819.408498254437</v>
          </cell>
          <cell r="X247">
            <v>39285.607995182843</v>
          </cell>
          <cell r="Y247">
            <v>39285.607995182843</v>
          </cell>
          <cell r="Z247">
            <v>27402.597661972235</v>
          </cell>
          <cell r="AA247">
            <v>12095.550498872166</v>
          </cell>
          <cell r="AB247">
            <v>5372.3520192842479</v>
          </cell>
        </row>
        <row r="249">
          <cell r="A249" t="str">
            <v>TTM Core EBITDA</v>
          </cell>
          <cell r="B249">
            <v>9574</v>
          </cell>
          <cell r="C249">
            <v>7059</v>
          </cell>
          <cell r="D249">
            <v>10953</v>
          </cell>
          <cell r="E249">
            <v>12774</v>
          </cell>
          <cell r="F249"/>
          <cell r="G249"/>
          <cell r="H249"/>
          <cell r="I249"/>
          <cell r="J249">
            <v>-1119</v>
          </cell>
          <cell r="K249"/>
          <cell r="L249"/>
          <cell r="M249"/>
          <cell r="N249"/>
          <cell r="O249">
            <v>-11904</v>
          </cell>
          <cell r="P249"/>
          <cell r="Q249"/>
          <cell r="R249"/>
          <cell r="T249">
            <v>2836.9326984118293</v>
          </cell>
          <cell r="Y249">
            <v>5465.5043039922339</v>
          </cell>
          <cell r="Z249">
            <v>7201.868480885485</v>
          </cell>
          <cell r="AA249">
            <v>9132.0724355289349</v>
          </cell>
          <cell r="AB249">
            <v>9833.316423553184</v>
          </cell>
        </row>
        <row r="250">
          <cell r="A250" t="str">
            <v>Net Leverage</v>
          </cell>
          <cell r="B250" t="str">
            <v>NM</v>
          </cell>
          <cell r="C250" t="str">
            <v>NM</v>
          </cell>
          <cell r="D250">
            <v>0.10271158586688578</v>
          </cell>
          <cell r="E250">
            <v>0.41357444809769844</v>
          </cell>
          <cell r="F250"/>
          <cell r="G250"/>
          <cell r="H250"/>
          <cell r="I250"/>
          <cell r="J250" t="str">
            <v>NM</v>
          </cell>
          <cell r="K250"/>
          <cell r="L250"/>
          <cell r="M250"/>
          <cell r="N250"/>
          <cell r="O250" t="str">
            <v>NM</v>
          </cell>
          <cell r="P250"/>
          <cell r="Q250"/>
          <cell r="R250"/>
          <cell r="T250">
            <v>14.642327848827364</v>
          </cell>
          <cell r="Y250">
            <v>7.1879200546026443</v>
          </cell>
          <cell r="Z250">
            <v>3.804928920140878</v>
          </cell>
          <cell r="AA250">
            <v>1.3245132016051058</v>
          </cell>
          <cell r="AB250">
            <v>0.54634182282756183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8">
          <cell r="K18">
            <v>126</v>
          </cell>
        </row>
      </sheetData>
      <sheetData sheetId="14">
        <row r="16">
          <cell r="K16">
            <v>2</v>
          </cell>
        </row>
      </sheetData>
      <sheetData sheetId="15">
        <row r="20">
          <cell r="K20">
            <v>4</v>
          </cell>
        </row>
      </sheetData>
      <sheetData sheetId="16">
        <row r="25">
          <cell r="K25">
            <v>10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FDSCACHE__"/>
      <sheetName val="Cover"/>
      <sheetName val="Summary"/>
      <sheetName val="Main Worksheet"/>
      <sheetName val="PE Trading History"/>
      <sheetName val="EV.EBITDA Trading History"/>
      <sheetName val="FCF Yield Trading History"/>
      <sheetName val="Valuation"/>
      <sheetName val="FactSet"/>
    </sheetNames>
    <sheetDataSet>
      <sheetData sheetId="0" refreshError="1"/>
      <sheetData sheetId="1" refreshError="1"/>
      <sheetData sheetId="2" refreshError="1"/>
      <sheetData sheetId="3">
        <row r="2">
          <cell r="J2" t="str">
            <v>FY 17</v>
          </cell>
          <cell r="K2" t="str">
            <v>Q1 18</v>
          </cell>
          <cell r="L2" t="str">
            <v>Q2 18</v>
          </cell>
          <cell r="M2" t="str">
            <v>Q3 18</v>
          </cell>
          <cell r="N2" t="str">
            <v>Q4 18</v>
          </cell>
          <cell r="O2" t="str">
            <v>FY 18</v>
          </cell>
          <cell r="P2" t="str">
            <v>Q1 19</v>
          </cell>
          <cell r="Q2" t="str">
            <v>Q2 19</v>
          </cell>
          <cell r="R2" t="str">
            <v>Q3 19</v>
          </cell>
          <cell r="S2" t="str">
            <v>Q4 19</v>
          </cell>
          <cell r="T2" t="str">
            <v>FY 19</v>
          </cell>
          <cell r="U2" t="str">
            <v>Q1 20</v>
          </cell>
          <cell r="V2" t="str">
            <v>Q2 20</v>
          </cell>
          <cell r="W2" t="str">
            <v>Q3 20</v>
          </cell>
          <cell r="X2" t="str">
            <v>Q4 20</v>
          </cell>
          <cell r="Y2" t="str">
            <v>FY 20</v>
          </cell>
          <cell r="Z2" t="str">
            <v>Q1 21</v>
          </cell>
          <cell r="AA2" t="str">
            <v>Q2 21</v>
          </cell>
          <cell r="AB2" t="str">
            <v>Q3 21</v>
          </cell>
          <cell r="AC2" t="str">
            <v>Q4 21e</v>
          </cell>
          <cell r="AD2" t="str">
            <v>FY 21e</v>
          </cell>
          <cell r="AE2" t="str">
            <v>Q1 22e</v>
          </cell>
          <cell r="AF2" t="str">
            <v>Q2 22e</v>
          </cell>
          <cell r="AG2" t="str">
            <v>Q3 22e</v>
          </cell>
          <cell r="AH2" t="str">
            <v>Q4 22e</v>
          </cell>
          <cell r="AI2" t="str">
            <v>FY 22e</v>
          </cell>
          <cell r="AJ2" t="str">
            <v>Q1 23e</v>
          </cell>
          <cell r="AK2" t="str">
            <v>Q2 23e</v>
          </cell>
          <cell r="AL2" t="str">
            <v>Q3 23e</v>
          </cell>
          <cell r="AM2" t="str">
            <v>Q4 23e</v>
          </cell>
          <cell r="AN2" t="str">
            <v>FY 23e</v>
          </cell>
          <cell r="AO2" t="str">
            <v>Q1 24e</v>
          </cell>
          <cell r="AP2" t="str">
            <v>Q2 24e</v>
          </cell>
          <cell r="AQ2" t="str">
            <v>Q3 24e</v>
          </cell>
          <cell r="AR2" t="str">
            <v>Q4 24e</v>
          </cell>
          <cell r="AS2" t="str">
            <v>FY 24e</v>
          </cell>
        </row>
        <row r="3">
          <cell r="A3" t="str">
            <v>Period Ended</v>
          </cell>
          <cell r="J3">
            <v>43100</v>
          </cell>
          <cell r="K3">
            <v>43190</v>
          </cell>
          <cell r="L3">
            <v>43281</v>
          </cell>
          <cell r="M3">
            <v>43373</v>
          </cell>
          <cell r="N3">
            <v>43465</v>
          </cell>
          <cell r="O3">
            <v>43465</v>
          </cell>
          <cell r="P3">
            <v>43555</v>
          </cell>
          <cell r="Q3">
            <v>43646</v>
          </cell>
          <cell r="R3">
            <v>43738</v>
          </cell>
          <cell r="S3">
            <v>43830</v>
          </cell>
          <cell r="T3">
            <v>43830</v>
          </cell>
          <cell r="U3">
            <v>43921</v>
          </cell>
          <cell r="V3">
            <v>44012</v>
          </cell>
          <cell r="W3">
            <v>44104</v>
          </cell>
          <cell r="X3">
            <v>44196</v>
          </cell>
          <cell r="Y3">
            <v>44196</v>
          </cell>
          <cell r="Z3">
            <v>44286</v>
          </cell>
          <cell r="AA3">
            <v>44377</v>
          </cell>
          <cell r="AB3">
            <v>44469</v>
          </cell>
          <cell r="AC3">
            <v>44561</v>
          </cell>
          <cell r="AD3">
            <v>44561</v>
          </cell>
          <cell r="AE3">
            <v>44651</v>
          </cell>
          <cell r="AF3">
            <v>44742</v>
          </cell>
          <cell r="AG3">
            <v>44834</v>
          </cell>
          <cell r="AH3">
            <v>44926</v>
          </cell>
          <cell r="AI3">
            <v>44926</v>
          </cell>
          <cell r="AJ3">
            <v>45016</v>
          </cell>
          <cell r="AK3">
            <v>45107</v>
          </cell>
          <cell r="AL3">
            <v>45199</v>
          </cell>
          <cell r="AM3">
            <v>45291</v>
          </cell>
          <cell r="AN3">
            <v>45291</v>
          </cell>
          <cell r="AO3">
            <v>45382</v>
          </cell>
          <cell r="AP3">
            <v>45473</v>
          </cell>
          <cell r="AQ3">
            <v>45565</v>
          </cell>
          <cell r="AR3">
            <v>45657</v>
          </cell>
          <cell r="AS3">
            <v>45657</v>
          </cell>
        </row>
        <row r="16">
          <cell r="A16" t="str">
            <v>Total Bizjet Deliveries</v>
          </cell>
          <cell r="J16">
            <v>180</v>
          </cell>
          <cell r="O16">
            <v>188</v>
          </cell>
          <cell r="P16">
            <v>44</v>
          </cell>
          <cell r="Q16">
            <v>46</v>
          </cell>
          <cell r="R16">
            <v>45</v>
          </cell>
          <cell r="S16">
            <v>71</v>
          </cell>
          <cell r="T16">
            <v>206</v>
          </cell>
          <cell r="U16">
            <v>23</v>
          </cell>
          <cell r="V16">
            <v>23</v>
          </cell>
          <cell r="W16">
            <v>25</v>
          </cell>
          <cell r="X16">
            <v>61</v>
          </cell>
          <cell r="Y16">
            <v>132</v>
          </cell>
          <cell r="Z16">
            <v>28</v>
          </cell>
          <cell r="AA16">
            <v>44</v>
          </cell>
          <cell r="AB16">
            <v>49</v>
          </cell>
          <cell r="AC16">
            <v>61</v>
          </cell>
          <cell r="AD16">
            <v>182</v>
          </cell>
          <cell r="AE16">
            <v>46</v>
          </cell>
          <cell r="AF16">
            <v>49</v>
          </cell>
          <cell r="AG16">
            <v>56</v>
          </cell>
          <cell r="AH16">
            <v>63</v>
          </cell>
          <cell r="AI16">
            <v>214</v>
          </cell>
          <cell r="AJ16">
            <v>51</v>
          </cell>
          <cell r="AK16">
            <v>54</v>
          </cell>
          <cell r="AL16">
            <v>59</v>
          </cell>
          <cell r="AM16">
            <v>64</v>
          </cell>
          <cell r="AN16">
            <v>228</v>
          </cell>
          <cell r="AO16">
            <v>51</v>
          </cell>
          <cell r="AP16">
            <v>54</v>
          </cell>
          <cell r="AQ16">
            <v>59</v>
          </cell>
          <cell r="AR16">
            <v>70</v>
          </cell>
          <cell r="AS16">
            <v>234</v>
          </cell>
        </row>
        <row r="120">
          <cell r="A120" t="str">
            <v>Net sales</v>
          </cell>
          <cell r="O120">
            <v>13972</v>
          </cell>
          <cell r="P120">
            <v>3109</v>
          </cell>
          <cell r="Q120">
            <v>3227</v>
          </cell>
          <cell r="R120">
            <v>3259</v>
          </cell>
          <cell r="S120">
            <v>4035</v>
          </cell>
          <cell r="T120">
            <v>13630</v>
          </cell>
          <cell r="U120">
            <v>2777</v>
          </cell>
          <cell r="V120">
            <v>2472</v>
          </cell>
          <cell r="W120">
            <v>2735</v>
          </cell>
          <cell r="X120">
            <v>3667</v>
          </cell>
          <cell r="Y120">
            <v>11651</v>
          </cell>
          <cell r="Z120">
            <v>2879</v>
          </cell>
          <cell r="AA120">
            <v>3191</v>
          </cell>
          <cell r="AB120">
            <v>2990</v>
          </cell>
          <cell r="AC120">
            <v>3413.9627</v>
          </cell>
          <cell r="AD120">
            <v>12473.9627</v>
          </cell>
          <cell r="AE120">
            <v>3189.4823779999997</v>
          </cell>
          <cell r="AF120">
            <v>3360.8148620000002</v>
          </cell>
          <cell r="AG120">
            <v>3423.2593045000003</v>
          </cell>
          <cell r="AH120">
            <v>3680.9767189999998</v>
          </cell>
          <cell r="AI120">
            <v>13654.533263499998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14396.423234025</v>
          </cell>
          <cell r="AO120">
            <v>0</v>
          </cell>
          <cell r="AP120">
            <v>0</v>
          </cell>
          <cell r="AQ120">
            <v>0</v>
          </cell>
          <cell r="AR120">
            <v>0</v>
          </cell>
          <cell r="AS120">
            <v>14891.010806838902</v>
          </cell>
        </row>
        <row r="122">
          <cell r="A122" t="str">
            <v>FactSet Consensus Sales</v>
          </cell>
          <cell r="AC122">
            <v>3455.9573</v>
          </cell>
          <cell r="AD122">
            <v>12508.882</v>
          </cell>
          <cell r="AE122">
            <v>2980.3539999999998</v>
          </cell>
          <cell r="AF122">
            <v>3309.3227999999999</v>
          </cell>
          <cell r="AG122">
            <v>3475.5909999999999</v>
          </cell>
          <cell r="AH122">
            <v>4111</v>
          </cell>
          <cell r="AI122">
            <v>13628.155000000001</v>
          </cell>
          <cell r="AN122">
            <v>14455.227000000001</v>
          </cell>
          <cell r="AS122">
            <v>14047.592000000001</v>
          </cell>
        </row>
        <row r="123">
          <cell r="A123" t="str">
            <v>Melius vs. Consensus</v>
          </cell>
          <cell r="AC123">
            <v>-1.2151365411835381E-2</v>
          </cell>
          <cell r="AD123">
            <v>-2.791560428821662E-3</v>
          </cell>
          <cell r="AE123">
            <v>7.0168972544872157E-2</v>
          </cell>
          <cell r="AF123">
            <v>1.555969759130184E-2</v>
          </cell>
          <cell r="AG123">
            <v>-1.505691995979952E-2</v>
          </cell>
          <cell r="AH123">
            <v>-0.10460308465093657</v>
          </cell>
          <cell r="AI123">
            <v>1.935571139306608E-3</v>
          </cell>
          <cell r="AN123">
            <v>-4.0679932577330482E-3</v>
          </cell>
          <cell r="AS123">
            <v>6.0040098462348652E-2</v>
          </cell>
        </row>
        <row r="131">
          <cell r="A131" t="str">
            <v>Net Sales Growth Y/Y</v>
          </cell>
          <cell r="T131">
            <v>-2.4477526481534499E-2</v>
          </cell>
          <cell r="U131">
            <v>-0.10678674815053071</v>
          </cell>
          <cell r="V131">
            <v>-0.23396343352959406</v>
          </cell>
          <cell r="W131">
            <v>-0.16078551702976374</v>
          </cell>
          <cell r="X131">
            <v>-9.1201982651796784E-2</v>
          </cell>
          <cell r="Y131">
            <v>-0.14519442406456345</v>
          </cell>
          <cell r="Z131">
            <v>3.6730284479654304E-2</v>
          </cell>
          <cell r="AA131">
            <v>0.29085760517799353</v>
          </cell>
          <cell r="AB131">
            <v>9.3235831809872036E-2</v>
          </cell>
          <cell r="AC131">
            <v>-6.9003899645486769E-2</v>
          </cell>
          <cell r="AD131">
            <v>7.0634512059050733E-2</v>
          </cell>
          <cell r="AE131">
            <v>0.10784382702327186</v>
          </cell>
          <cell r="AF131">
            <v>5.3216816671889745E-2</v>
          </cell>
          <cell r="AG131">
            <v>0.14490277742474927</v>
          </cell>
          <cell r="AH131">
            <v>7.8212342214517963E-2</v>
          </cell>
          <cell r="AI131">
            <v>9.4642784485799186E-2</v>
          </cell>
          <cell r="AN131">
            <v>5.4332869253623794E-2</v>
          </cell>
          <cell r="AS131">
            <v>3.4354892515592102E-2</v>
          </cell>
        </row>
        <row r="160">
          <cell r="A160" t="str">
            <v>Adjusted EBIT</v>
          </cell>
          <cell r="O160">
            <v>1148</v>
          </cell>
          <cell r="P160">
            <v>247</v>
          </cell>
          <cell r="Q160">
            <v>315</v>
          </cell>
          <cell r="R160">
            <v>280</v>
          </cell>
          <cell r="S160">
            <v>318</v>
          </cell>
          <cell r="T160">
            <v>1160</v>
          </cell>
          <cell r="U160">
            <v>142</v>
          </cell>
          <cell r="V160">
            <v>52</v>
          </cell>
          <cell r="W160">
            <v>161</v>
          </cell>
          <cell r="X160">
            <v>274</v>
          </cell>
          <cell r="Y160">
            <v>629</v>
          </cell>
          <cell r="Z160">
            <v>216</v>
          </cell>
          <cell r="AA160">
            <v>252</v>
          </cell>
          <cell r="AB160">
            <v>256</v>
          </cell>
          <cell r="AC160">
            <v>283.28705830000001</v>
          </cell>
          <cell r="AD160">
            <v>1007.2870583000001</v>
          </cell>
          <cell r="AE160">
            <v>281.03629591000004</v>
          </cell>
          <cell r="AF160">
            <v>301.96545675200002</v>
          </cell>
          <cell r="AG160">
            <v>307.24912184100003</v>
          </cell>
          <cell r="AH160">
            <v>337.67674982000005</v>
          </cell>
          <cell r="AI160">
            <v>1227.9276243230001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1314.651982309575</v>
          </cell>
          <cell r="AO160">
            <v>0</v>
          </cell>
          <cell r="AP160">
            <v>0</v>
          </cell>
          <cell r="AQ160">
            <v>0</v>
          </cell>
          <cell r="AR160">
            <v>0</v>
          </cell>
          <cell r="AS160">
            <v>1377.8821852350234</v>
          </cell>
        </row>
        <row r="161">
          <cell r="A161" t="str">
            <v>Adjusted EBIT Margin</v>
          </cell>
          <cell r="O161">
            <v>8.2164328657314628E-2</v>
          </cell>
          <cell r="P161">
            <v>7.9446767449340622E-2</v>
          </cell>
          <cell r="Q161">
            <v>9.7613882863340565E-2</v>
          </cell>
          <cell r="R161">
            <v>8.5915925130408105E-2</v>
          </cell>
          <cell r="S161">
            <v>7.8810408921933084E-2</v>
          </cell>
          <cell r="T161">
            <v>8.5106382978723402E-2</v>
          </cell>
          <cell r="U161">
            <v>5.1134317608930502E-2</v>
          </cell>
          <cell r="V161">
            <v>2.1035598705501618E-2</v>
          </cell>
          <cell r="W161">
            <v>5.8866544789762339E-2</v>
          </cell>
          <cell r="X161">
            <v>7.4720479956367603E-2</v>
          </cell>
          <cell r="Y161">
            <v>5.3986782250450602E-2</v>
          </cell>
          <cell r="Z161">
            <v>7.5026050712052803E-2</v>
          </cell>
          <cell r="AA161">
            <v>7.8972109056722029E-2</v>
          </cell>
          <cell r="AB161">
            <v>8.5618729096989962E-2</v>
          </cell>
          <cell r="AC161">
            <v>8.2978955306102206E-2</v>
          </cell>
          <cell r="AD161">
            <v>8.0751168055039971E-2</v>
          </cell>
          <cell r="AE161">
            <v>8.811344995930874E-2</v>
          </cell>
          <cell r="AF161">
            <v>8.9848881640657297E-2</v>
          </cell>
          <cell r="AG161">
            <v>8.9753388367953824E-2</v>
          </cell>
          <cell r="AH161">
            <v>9.1735638554034576E-2</v>
          </cell>
          <cell r="AI161">
            <v>8.9928201911183572E-2</v>
          </cell>
          <cell r="AN161">
            <v>9.1317958699802707E-2</v>
          </cell>
          <cell r="AS161">
            <v>9.2531138625069828E-2</v>
          </cell>
        </row>
        <row r="195">
          <cell r="A195" t="str">
            <v>Adjusted Net Income from Continuing Operations</v>
          </cell>
          <cell r="O195">
            <v>845</v>
          </cell>
          <cell r="P195">
            <v>179</v>
          </cell>
          <cell r="Q195">
            <v>217</v>
          </cell>
          <cell r="R195">
            <v>220</v>
          </cell>
          <cell r="S195">
            <v>254</v>
          </cell>
          <cell r="T195">
            <v>870</v>
          </cell>
          <cell r="U195">
            <v>80</v>
          </cell>
          <cell r="V195">
            <v>30</v>
          </cell>
          <cell r="W195">
            <v>121.4</v>
          </cell>
          <cell r="X195">
            <v>243.6</v>
          </cell>
          <cell r="Y195">
            <v>475</v>
          </cell>
          <cell r="Z195">
            <v>160</v>
          </cell>
          <cell r="AA195">
            <v>185.6880733944954</v>
          </cell>
          <cell r="AB195">
            <v>193.48623853211009</v>
          </cell>
          <cell r="AC195">
            <v>209.09399955500001</v>
          </cell>
          <cell r="AD195">
            <v>748.26831148160556</v>
          </cell>
          <cell r="AE195">
            <v>212.55048856440004</v>
          </cell>
          <cell r="AF195">
            <v>230.13098367168001</v>
          </cell>
          <cell r="AG195">
            <v>234.56926234644004</v>
          </cell>
          <cell r="AH195">
            <v>260.12846984880002</v>
          </cell>
          <cell r="AI195">
            <v>937.37920443132009</v>
          </cell>
          <cell r="AJ195">
            <v>0</v>
          </cell>
          <cell r="AK195">
            <v>0</v>
          </cell>
          <cell r="AL195">
            <v>0</v>
          </cell>
          <cell r="AM195">
            <v>0</v>
          </cell>
          <cell r="AN195">
            <v>977.56846514004292</v>
          </cell>
          <cell r="AO195">
            <v>0</v>
          </cell>
          <cell r="AP195">
            <v>0</v>
          </cell>
          <cell r="AQ195">
            <v>0</v>
          </cell>
          <cell r="AR195">
            <v>0</v>
          </cell>
          <cell r="AS195">
            <v>1030.6818355974196</v>
          </cell>
        </row>
        <row r="198">
          <cell r="A198" t="str">
            <v>Adjusted EPS - Diluted</v>
          </cell>
          <cell r="O198">
            <v>3.3367951760603702</v>
          </cell>
          <cell r="P198">
            <v>0.75707270858621956</v>
          </cell>
          <cell r="Q198">
            <v>0.92915712175383769</v>
          </cell>
          <cell r="R198">
            <v>0.951981202698434</v>
          </cell>
          <cell r="S198">
            <v>1.1053570651464382</v>
          </cell>
          <cell r="T198">
            <v>3.738574786535974</v>
          </cell>
          <cell r="U198">
            <v>0.34945637692364817</v>
          </cell>
          <cell r="V198">
            <v>0.13143655776417651</v>
          </cell>
          <cell r="W198">
            <v>0.52948591017930124</v>
          </cell>
          <cell r="X198">
            <v>1.0620626512327511</v>
          </cell>
          <cell r="Y198">
            <v>2.0744260390690847</v>
          </cell>
          <cell r="Z198">
            <v>0.70088135830807241</v>
          </cell>
          <cell r="AA198">
            <v>0.81283136231098552</v>
          </cell>
          <cell r="AB198">
            <v>0.85428159535568937</v>
          </cell>
          <cell r="AC198">
            <v>0.92943238676540252</v>
          </cell>
          <cell r="AD198">
            <v>3.2956481355399507</v>
          </cell>
          <cell r="AE198">
            <v>0.95540030487310035</v>
          </cell>
          <cell r="AF198">
            <v>1.0248516624191399</v>
          </cell>
          <cell r="AG198">
            <v>1.0663410145715404</v>
          </cell>
          <cell r="AH198">
            <v>1.1714666635727049</v>
          </cell>
          <cell r="AI198">
            <v>4.2174289961901072</v>
          </cell>
          <cell r="AN198">
            <v>4.6086407641079976</v>
          </cell>
          <cell r="AS198">
            <v>5.0965377193966193</v>
          </cell>
        </row>
        <row r="200">
          <cell r="A200" t="str">
            <v>FactSet Consensus EPS</v>
          </cell>
          <cell r="AC200">
            <v>0.95000773999999999</v>
          </cell>
          <cell r="AD200">
            <v>3.313542</v>
          </cell>
          <cell r="AE200">
            <v>0.77833330000000001</v>
          </cell>
          <cell r="AF200">
            <v>0.95666664999999995</v>
          </cell>
          <cell r="AG200">
            <v>1.0316666000000001</v>
          </cell>
          <cell r="AH200">
            <v>1.3360000000000001</v>
          </cell>
          <cell r="AI200">
            <v>4.0107492999999996</v>
          </cell>
          <cell r="AN200">
            <v>4.7216490000000002</v>
          </cell>
          <cell r="AS200">
            <v>4.7810870000000003</v>
          </cell>
        </row>
        <row r="201">
          <cell r="A201" t="str">
            <v>Melius vs. Consensus</v>
          </cell>
          <cell r="AC201">
            <v>-9.2076505345336842E-3</v>
          </cell>
          <cell r="AD201">
            <v>5.0152277334385223E-3</v>
          </cell>
          <cell r="AE201">
            <v>0.2432938458081188</v>
          </cell>
          <cell r="AF201">
            <v>8.2617973747642362E-2</v>
          </cell>
          <cell r="AG201">
            <v>4.7066377657524201E-2</v>
          </cell>
          <cell r="AH201">
            <v>-0.1137626476820789</v>
          </cell>
          <cell r="AI201">
            <v>6.3929252388891675E-2</v>
          </cell>
          <cell r="AN201">
            <v>-1.2985140924304793E-2</v>
          </cell>
          <cell r="AS201">
            <v>7.8527718365041535E-2</v>
          </cell>
        </row>
        <row r="208">
          <cell r="A208" t="str">
            <v>Adjusted EBITDA</v>
          </cell>
          <cell r="O208">
            <v>1585</v>
          </cell>
          <cell r="P208">
            <v>349</v>
          </cell>
          <cell r="Q208">
            <v>415</v>
          </cell>
          <cell r="R208">
            <v>380</v>
          </cell>
          <cell r="S208">
            <v>432</v>
          </cell>
          <cell r="T208">
            <v>1576</v>
          </cell>
          <cell r="U208">
            <v>232</v>
          </cell>
          <cell r="V208">
            <v>150</v>
          </cell>
          <cell r="W208">
            <v>256</v>
          </cell>
          <cell r="X208">
            <v>382</v>
          </cell>
          <cell r="Y208">
            <v>1020</v>
          </cell>
          <cell r="Z208">
            <v>306</v>
          </cell>
          <cell r="AA208">
            <v>350</v>
          </cell>
          <cell r="AB208">
            <v>353</v>
          </cell>
          <cell r="AC208">
            <v>380.28705830000001</v>
          </cell>
          <cell r="AD208">
            <v>1389.2870583000001</v>
          </cell>
          <cell r="AE208">
            <v>374.63629591000006</v>
          </cell>
          <cell r="AF208">
            <v>395.56545675200005</v>
          </cell>
          <cell r="AG208">
            <v>400.84912184100006</v>
          </cell>
          <cell r="AH208">
            <v>431.27674982000008</v>
          </cell>
          <cell r="AI208">
            <v>1602.3276243230002</v>
          </cell>
          <cell r="AJ208">
            <v>0</v>
          </cell>
          <cell r="AK208">
            <v>0</v>
          </cell>
          <cell r="AL208">
            <v>0</v>
          </cell>
          <cell r="AM208">
            <v>0</v>
          </cell>
          <cell r="AN208">
            <v>1669.7519823095749</v>
          </cell>
          <cell r="AO208">
            <v>0</v>
          </cell>
          <cell r="AP208">
            <v>0</v>
          </cell>
          <cell r="AQ208">
            <v>0</v>
          </cell>
          <cell r="AR208">
            <v>0</v>
          </cell>
          <cell r="AS208">
            <v>1729.9821852350233</v>
          </cell>
        </row>
        <row r="209">
          <cell r="A209" t="str">
            <v>Adjusted EBITDA Margin</v>
          </cell>
          <cell r="O209">
            <v>0.11344116805038648</v>
          </cell>
          <cell r="P209">
            <v>0.11225474429076873</v>
          </cell>
          <cell r="Q209">
            <v>0.12860241710567091</v>
          </cell>
          <cell r="R209">
            <v>0.11660018410555385</v>
          </cell>
          <cell r="S209">
            <v>0.10706319702602231</v>
          </cell>
          <cell r="T209">
            <v>0.11562729273661042</v>
          </cell>
          <cell r="U209">
            <v>8.3543392149801943E-2</v>
          </cell>
          <cell r="V209">
            <v>6.0679611650485438E-2</v>
          </cell>
          <cell r="W209">
            <v>9.3601462522851925E-2</v>
          </cell>
          <cell r="X209">
            <v>0.10417234796836651</v>
          </cell>
          <cell r="Y209">
            <v>8.754613337910909E-2</v>
          </cell>
          <cell r="Z209">
            <v>0.10628690517540813</v>
          </cell>
          <cell r="AA209">
            <v>0.10968348480100282</v>
          </cell>
          <cell r="AB209">
            <v>0.11806020066889632</v>
          </cell>
          <cell r="AC209">
            <v>0.11139168518156335</v>
          </cell>
          <cell r="AD209">
            <v>0.11137495691725935</v>
          </cell>
          <cell r="AE209">
            <v>0.1174599046209247</v>
          </cell>
          <cell r="AF209">
            <v>0.11769927026465286</v>
          </cell>
          <cell r="AG209">
            <v>0.11709575179247132</v>
          </cell>
          <cell r="AH209">
            <v>0.11716367223783034</v>
          </cell>
          <cell r="AI209">
            <v>0.11734766713749128</v>
          </cell>
          <cell r="AN209">
            <v>0.11598380758654177</v>
          </cell>
          <cell r="AS209">
            <v>0.11617627625657925</v>
          </cell>
        </row>
        <row r="211">
          <cell r="A211" t="str">
            <v>FactSet Consensus EBITDA</v>
          </cell>
          <cell r="AC211">
            <v>400.52566999999999</v>
          </cell>
          <cell r="AD211">
            <v>1411.7722000000001</v>
          </cell>
          <cell r="AE211">
            <v>340</v>
          </cell>
          <cell r="AF211">
            <v>397</v>
          </cell>
          <cell r="AG211">
            <v>428</v>
          </cell>
          <cell r="AH211">
            <v>487</v>
          </cell>
          <cell r="AI211">
            <v>1609.0251000000001</v>
          </cell>
          <cell r="AN211">
            <v>1789.4874</v>
          </cell>
          <cell r="AS211">
            <v>1757.2411999999999</v>
          </cell>
        </row>
        <row r="212">
          <cell r="A212" t="str">
            <v>Melius vs. Consensus</v>
          </cell>
          <cell r="AC212">
            <v>-5.0530123824522856E-2</v>
          </cell>
          <cell r="AD212">
            <v>-1.5926890825587858E-2</v>
          </cell>
          <cell r="AE212">
            <v>0.10187145855882369</v>
          </cell>
          <cell r="AF212">
            <v>-3.6134590629721777E-3</v>
          </cell>
          <cell r="AG212">
            <v>-6.3436631212616695E-2</v>
          </cell>
          <cell r="AH212">
            <v>-0.11442145827515385</v>
          </cell>
          <cell r="AI212">
            <v>-4.1624432564786153E-3</v>
          </cell>
          <cell r="AN212">
            <v>-6.6910455860390544E-2</v>
          </cell>
          <cell r="AS212">
            <v>-1.5512392245854842E-2</v>
          </cell>
        </row>
        <row r="263">
          <cell r="A263" t="str">
            <v>Operating Cash Flow from Continuing Operations</v>
          </cell>
          <cell r="O263">
            <v>1109</v>
          </cell>
          <cell r="P263">
            <v>-216</v>
          </cell>
          <cell r="Q263">
            <v>156</v>
          </cell>
          <cell r="R263">
            <v>285</v>
          </cell>
          <cell r="S263">
            <v>791</v>
          </cell>
          <cell r="T263">
            <v>1016</v>
          </cell>
          <cell r="U263">
            <v>-394</v>
          </cell>
          <cell r="V263">
            <v>242</v>
          </cell>
          <cell r="W263">
            <v>352.4</v>
          </cell>
          <cell r="X263">
            <v>568.6</v>
          </cell>
          <cell r="Y263">
            <v>769</v>
          </cell>
          <cell r="Z263">
            <v>181</v>
          </cell>
          <cell r="AA263">
            <v>592</v>
          </cell>
          <cell r="AB263">
            <v>401</v>
          </cell>
          <cell r="AC263">
            <v>417.09601124672071</v>
          </cell>
          <cell r="AD263">
            <v>1591.096011246721</v>
          </cell>
          <cell r="AE263">
            <v>390.71402515440053</v>
          </cell>
          <cell r="AF263">
            <v>395.26047967667944</v>
          </cell>
          <cell r="AG263">
            <v>388.66674436894044</v>
          </cell>
          <cell r="AH263">
            <v>195.98614064105064</v>
          </cell>
          <cell r="AI263">
            <v>1370.6273898410711</v>
          </cell>
          <cell r="AJ263">
            <v>0</v>
          </cell>
          <cell r="AK263">
            <v>0</v>
          </cell>
          <cell r="AL263">
            <v>0</v>
          </cell>
          <cell r="AM263">
            <v>0</v>
          </cell>
          <cell r="AN263">
            <v>1357.2840913985881</v>
          </cell>
          <cell r="AO263">
            <v>0</v>
          </cell>
          <cell r="AP263">
            <v>0</v>
          </cell>
          <cell r="AQ263">
            <v>0</v>
          </cell>
          <cell r="AR263">
            <v>0</v>
          </cell>
          <cell r="AS263">
            <v>1390.0677941096299</v>
          </cell>
        </row>
        <row r="264">
          <cell r="A264" t="str">
            <v>Capex</v>
          </cell>
          <cell r="O264">
            <v>-369</v>
          </cell>
          <cell r="P264">
            <v>-59</v>
          </cell>
          <cell r="Q264">
            <v>-76</v>
          </cell>
          <cell r="R264">
            <v>-81</v>
          </cell>
          <cell r="S264">
            <v>-123</v>
          </cell>
          <cell r="T264">
            <v>-339</v>
          </cell>
          <cell r="U264">
            <v>-50</v>
          </cell>
          <cell r="V264">
            <v>-46</v>
          </cell>
          <cell r="W264">
            <v>-55</v>
          </cell>
          <cell r="X264">
            <v>-166</v>
          </cell>
          <cell r="Y264">
            <v>-317</v>
          </cell>
          <cell r="Z264">
            <v>-53</v>
          </cell>
          <cell r="AA264">
            <v>-75</v>
          </cell>
          <cell r="AB264">
            <v>-76</v>
          </cell>
          <cell r="AC264">
            <v>-196</v>
          </cell>
          <cell r="AD264">
            <v>-400</v>
          </cell>
          <cell r="AE264">
            <v>-92.132488961999996</v>
          </cell>
          <cell r="AF264">
            <v>-97.101130998000016</v>
          </cell>
          <cell r="AG264">
            <v>-98.912019830500014</v>
          </cell>
          <cell r="AH264">
            <v>-106.85436020949999</v>
          </cell>
          <cell r="AI264">
            <v>-395</v>
          </cell>
          <cell r="AJ264">
            <v>0</v>
          </cell>
          <cell r="AK264">
            <v>0</v>
          </cell>
          <cell r="AL264">
            <v>0</v>
          </cell>
          <cell r="AM264">
            <v>0</v>
          </cell>
          <cell r="AN264">
            <v>-387.35342731867502</v>
          </cell>
          <cell r="AO264">
            <v>0</v>
          </cell>
          <cell r="AP264">
            <v>0</v>
          </cell>
          <cell r="AQ264">
            <v>0</v>
          </cell>
          <cell r="AR264">
            <v>0</v>
          </cell>
          <cell r="AS264">
            <v>-371.02527017097259</v>
          </cell>
        </row>
        <row r="265">
          <cell r="A265" t="str">
            <v>Free Cash Flow from Continuing Operations</v>
          </cell>
          <cell r="O265">
            <v>740</v>
          </cell>
          <cell r="P265">
            <v>-275</v>
          </cell>
          <cell r="Q265">
            <v>80</v>
          </cell>
          <cell r="R265">
            <v>204</v>
          </cell>
          <cell r="S265">
            <v>668</v>
          </cell>
          <cell r="T265">
            <v>677</v>
          </cell>
          <cell r="U265">
            <v>-444</v>
          </cell>
          <cell r="V265">
            <v>196</v>
          </cell>
          <cell r="W265">
            <v>297.39999999999998</v>
          </cell>
          <cell r="X265">
            <v>402.6</v>
          </cell>
          <cell r="Y265">
            <v>452</v>
          </cell>
          <cell r="Z265">
            <v>128</v>
          </cell>
          <cell r="AA265">
            <v>517</v>
          </cell>
          <cell r="AB265">
            <v>325</v>
          </cell>
          <cell r="AC265">
            <v>221.09601124672071</v>
          </cell>
          <cell r="AD265">
            <v>1191.096011246721</v>
          </cell>
          <cell r="AE265">
            <v>298.58153619240056</v>
          </cell>
          <cell r="AF265">
            <v>298.15934867867941</v>
          </cell>
          <cell r="AG265">
            <v>289.75472453844043</v>
          </cell>
          <cell r="AH265">
            <v>89.131780431550652</v>
          </cell>
          <cell r="AI265">
            <v>975.62738984107114</v>
          </cell>
          <cell r="AJ265">
            <v>0</v>
          </cell>
          <cell r="AK265">
            <v>0</v>
          </cell>
          <cell r="AL265">
            <v>0</v>
          </cell>
          <cell r="AM265">
            <v>0</v>
          </cell>
          <cell r="AN265">
            <v>969.93066407991307</v>
          </cell>
          <cell r="AO265">
            <v>0</v>
          </cell>
          <cell r="AP265">
            <v>0</v>
          </cell>
          <cell r="AQ265">
            <v>0</v>
          </cell>
          <cell r="AR265">
            <v>0</v>
          </cell>
          <cell r="AS265">
            <v>1019.0425239386573</v>
          </cell>
        </row>
        <row r="266">
          <cell r="A266" t="str">
            <v>FCF/Share from Continuing Operations</v>
          </cell>
          <cell r="O266">
            <v>2.9221638228220996</v>
          </cell>
          <cell r="P266">
            <v>-1.1631005299508959</v>
          </cell>
          <cell r="Q266">
            <v>0.34254640433321204</v>
          </cell>
          <cell r="R266">
            <v>0.88274620613854782</v>
          </cell>
          <cell r="S266">
            <v>2.9070020453457506</v>
          </cell>
          <cell r="T266">
            <v>2.9092127936607524</v>
          </cell>
          <cell r="U266">
            <v>-1.9394828919262472</v>
          </cell>
          <cell r="V266">
            <v>0.85871884405928656</v>
          </cell>
          <cell r="W266">
            <v>1.2971096349861957</v>
          </cell>
          <cell r="X266">
            <v>1.7552808841802368</v>
          </cell>
          <cell r="Y266">
            <v>1.9739801466510027</v>
          </cell>
          <cell r="Z266">
            <v>0.56070508664645791</v>
          </cell>
          <cell r="AA266">
            <v>2.2631168853908581</v>
          </cell>
          <cell r="AB266">
            <v>1.4349419400415029</v>
          </cell>
          <cell r="AC266">
            <v>0.98278187740771061</v>
          </cell>
          <cell r="AD266">
            <v>5.2460237704598107</v>
          </cell>
          <cell r="AE266">
            <v>1.3421041402182736</v>
          </cell>
          <cell r="AF266">
            <v>1.3278051450694599</v>
          </cell>
          <cell r="AG266">
            <v>1.3172115726095559</v>
          </cell>
          <cell r="AH266">
            <v>0.40139746910876323</v>
          </cell>
          <cell r="AI266">
            <v>4.3895141090624383</v>
          </cell>
          <cell r="AN266">
            <v>4.5726331773567015</v>
          </cell>
          <cell r="AS266">
            <v>5.0389834006457592</v>
          </cell>
        </row>
        <row r="268">
          <cell r="A268" t="str">
            <v>FactSet Consensus Free Cash Flow</v>
          </cell>
          <cell r="AC268">
            <v>178.91804999999999</v>
          </cell>
          <cell r="AD268">
            <v>1073.3507999999999</v>
          </cell>
          <cell r="AE268">
            <v>88</v>
          </cell>
          <cell r="AF268">
            <v>278</v>
          </cell>
          <cell r="AG268">
            <v>350</v>
          </cell>
          <cell r="AH268">
            <v>423</v>
          </cell>
          <cell r="AI268">
            <v>1003.57196</v>
          </cell>
          <cell r="AN268">
            <v>995.84466999999995</v>
          </cell>
          <cell r="AS268">
            <v>1014.2199000000001</v>
          </cell>
        </row>
        <row r="269">
          <cell r="A269" t="str">
            <v>Melius vs. Consensus</v>
          </cell>
          <cell r="AC269">
            <v>0.23573899473373824</v>
          </cell>
          <cell r="AD269">
            <v>0.10969872221339105</v>
          </cell>
          <cell r="AE269">
            <v>2.3929720021863701</v>
          </cell>
          <cell r="AF269">
            <v>7.2515642729062621E-2</v>
          </cell>
          <cell r="AG269">
            <v>-0.17212935846159877</v>
          </cell>
          <cell r="AH269">
            <v>-0.78928657108380462</v>
          </cell>
          <cell r="AI269">
            <v>-2.7845108545010419E-2</v>
          </cell>
          <cell r="AN269">
            <v>-2.6022136484484957E-2</v>
          </cell>
          <cell r="AS269">
            <v>4.7550081975883292E-3</v>
          </cell>
        </row>
        <row r="367">
          <cell r="A367" t="str">
            <v>Net Debt</v>
          </cell>
          <cell r="O367">
            <v>2677</v>
          </cell>
          <cell r="P367">
            <v>3144</v>
          </cell>
          <cell r="Q367">
            <v>3213</v>
          </cell>
          <cell r="R367">
            <v>3119</v>
          </cell>
          <cell r="S367">
            <v>2453</v>
          </cell>
          <cell r="T367">
            <v>2453</v>
          </cell>
          <cell r="U367">
            <v>2588</v>
          </cell>
          <cell r="V367">
            <v>2386</v>
          </cell>
          <cell r="W367">
            <v>2054</v>
          </cell>
          <cell r="X367">
            <v>2115</v>
          </cell>
          <cell r="Y367">
            <v>2115</v>
          </cell>
          <cell r="Z367">
            <v>2015</v>
          </cell>
          <cell r="AA367">
            <v>1645</v>
          </cell>
          <cell r="AB367">
            <v>1590</v>
          </cell>
          <cell r="AC367">
            <v>1498.3468400491365</v>
          </cell>
          <cell r="AD367">
            <v>1498.3468400491365</v>
          </cell>
          <cell r="AE367">
            <v>1399.158217922854</v>
          </cell>
          <cell r="AF367">
            <v>1300.4428198383998</v>
          </cell>
          <cell r="AG367">
            <v>1210.0310721363385</v>
          </cell>
          <cell r="AH367">
            <v>1320.2933050692736</v>
          </cell>
          <cell r="AI367">
            <v>1320.2933050692736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1146.743716068172</v>
          </cell>
          <cell r="AO367">
            <v>0</v>
          </cell>
          <cell r="AP367">
            <v>0</v>
          </cell>
          <cell r="AQ367">
            <v>0</v>
          </cell>
          <cell r="AR367">
            <v>0</v>
          </cell>
          <cell r="AS367">
            <v>922.88349359973381</v>
          </cell>
        </row>
        <row r="370">
          <cell r="A370" t="str">
            <v>Net Leverage</v>
          </cell>
          <cell r="O370">
            <v>1.6889589905362776</v>
          </cell>
          <cell r="S370">
            <v>1.5564720812182742</v>
          </cell>
          <cell r="T370">
            <v>1.5564720812182742</v>
          </cell>
          <cell r="U370">
            <v>1.7738176833447568</v>
          </cell>
          <cell r="V370">
            <v>1.9983249581239531</v>
          </cell>
          <cell r="W370">
            <v>1.919626168224299</v>
          </cell>
          <cell r="X370">
            <v>2.0735294117647061</v>
          </cell>
          <cell r="Y370">
            <v>2.0735294117647061</v>
          </cell>
          <cell r="Z370">
            <v>1.8418647166361974</v>
          </cell>
          <cell r="AA370">
            <v>1.2712519319938176</v>
          </cell>
          <cell r="AB370">
            <v>1.1430625449317038</v>
          </cell>
          <cell r="AC370">
            <v>1.0785005381699786</v>
          </cell>
          <cell r="AD370">
            <v>1.0785005381699786</v>
          </cell>
          <cell r="AE370">
            <v>0.95969257497834037</v>
          </cell>
          <cell r="AF370">
            <v>0.86495011493056451</v>
          </cell>
          <cell r="AG370">
            <v>0.77999193247986986</v>
          </cell>
          <cell r="AH370">
            <v>0.82398461152856362</v>
          </cell>
          <cell r="AI370">
            <v>0.82398461152856362</v>
          </cell>
          <cell r="AN370">
            <v>0.68677487927399494</v>
          </cell>
          <cell r="AS370">
            <v>0.53346416019559029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IC"/>
      <sheetName val="Capitalized Earnings"/>
      <sheetName val="TDG - TSM"/>
      <sheetName val="ITW - TSM"/>
      <sheetName val="APH - TSM"/>
      <sheetName val="ETN - TSM"/>
      <sheetName val="AME - TSM"/>
      <sheetName val="HWM- TSM"/>
      <sheetName val="IEX- TSM"/>
      <sheetName val="ROP- TSM"/>
      <sheetName val="DHR- TSM"/>
      <sheetName val="HEI- TSM"/>
      <sheetName val="VRT- TSM"/>
      <sheetName val="Conclusions"/>
      <sheetName val="Patents"/>
      <sheetName val="Notes &amp; Images"/>
      <sheetName val="Disclosur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4">
          <cell r="E14">
            <v>45069.947728669998</v>
          </cell>
        </row>
        <row r="15">
          <cell r="E15">
            <v>3394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7"/>
    </sheetNames>
    <sheetDataSet>
      <sheetData sheetId="0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drawing" Target="../drawings/drawing4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drawing" Target="../drawings/drawing5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2.xml"/><Relationship Id="rId1" Type="http://schemas.openxmlformats.org/officeDocument/2006/relationships/vmlDrawing" Target="../drawings/vmlDrawing12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3.xml"/><Relationship Id="rId1" Type="http://schemas.openxmlformats.org/officeDocument/2006/relationships/vmlDrawing" Target="../drawings/vmlDrawing13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4.xml"/><Relationship Id="rId1" Type="http://schemas.openxmlformats.org/officeDocument/2006/relationships/vmlDrawing" Target="../drawings/vmlDrawing14.v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comments" Target="../comments15.xml"/><Relationship Id="rId1" Type="http://schemas.openxmlformats.org/officeDocument/2006/relationships/vmlDrawing" Target="../drawings/vmlDrawing15.v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6.xml"/><Relationship Id="rId1" Type="http://schemas.openxmlformats.org/officeDocument/2006/relationships/vmlDrawing" Target="../drawings/vmlDrawing16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7.xml"/><Relationship Id="rId1" Type="http://schemas.openxmlformats.org/officeDocument/2006/relationships/vmlDrawing" Target="../drawings/vmlDrawing17.v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8.xml"/><Relationship Id="rId1" Type="http://schemas.openxmlformats.org/officeDocument/2006/relationships/vmlDrawing" Target="../drawings/vmlDrawing18.v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9.xml"/><Relationship Id="rId1" Type="http://schemas.openxmlformats.org/officeDocument/2006/relationships/vmlDrawing" Target="../drawings/vmlDrawing19.v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5BAFA-5076-42B3-984F-232DEF9338E4}">
  <sheetPr>
    <tabColor theme="3"/>
  </sheetPr>
  <dimension ref="A1:AY368"/>
  <sheetViews>
    <sheetView showGridLines="0" tabSelected="1" zoomScale="108" zoomScaleNormal="85" workbookViewId="0">
      <pane xSplit="2" ySplit="4" topLeftCell="X5" activePane="bottomRight" state="frozen"/>
      <selection activeCell="AF5" sqref="AF5"/>
      <selection pane="topRight" activeCell="AF5" sqref="AF5"/>
      <selection pane="bottomLeft" activeCell="AF5" sqref="AF5"/>
      <selection pane="bottomRight" activeCell="AC322" sqref="AC322"/>
    </sheetView>
  </sheetViews>
  <sheetFormatPr defaultRowHeight="14.25" outlineLevelRow="1" outlineLevelCol="1" x14ac:dyDescent="0.2"/>
  <cols>
    <col min="1" max="1" width="10.7109375" style="156" customWidth="1"/>
    <col min="2" max="2" width="45.5703125" style="156" customWidth="1"/>
    <col min="3" max="8" width="8.42578125" style="156" hidden="1" customWidth="1" outlineLevel="1"/>
    <col min="9" max="9" width="8" style="156" hidden="1" customWidth="1" outlineLevel="1"/>
    <col min="10" max="17" width="8.42578125" style="156" hidden="1" customWidth="1" outlineLevel="1"/>
    <col min="18" max="18" width="9.28515625" style="156" hidden="1" customWidth="1" outlineLevel="1"/>
    <col min="19" max="19" width="9.140625" style="156" hidden="1" customWidth="1" outlineLevel="1"/>
    <col min="20" max="22" width="9.28515625" style="156" hidden="1" customWidth="1" outlineLevel="1"/>
    <col min="23" max="23" width="0" style="156" hidden="1" customWidth="1" outlineLevel="1"/>
    <col min="24" max="24" width="8.28515625" style="156" bestFit="1" customWidth="1" collapsed="1"/>
    <col min="25" max="28" width="8.28515625" style="156" bestFit="1" customWidth="1"/>
    <col min="29" max="32" width="8.42578125" style="156" bestFit="1" customWidth="1"/>
    <col min="33" max="33" width="8.85546875" style="156" bestFit="1" customWidth="1"/>
    <col min="34" max="34" width="9.140625" style="156"/>
    <col min="35" max="35" width="20.28515625" style="156" bestFit="1" customWidth="1"/>
    <col min="36" max="39" width="9.140625" style="156"/>
    <col min="40" max="40" width="17.5703125" style="156" customWidth="1"/>
    <col min="41" max="41" width="9.85546875" style="156" customWidth="1"/>
    <col min="42" max="42" width="9.140625" style="156" hidden="1" customWidth="1" outlineLevel="1"/>
    <col min="43" max="43" width="9.140625" style="156" collapsed="1"/>
    <col min="44" max="44" width="9.140625" style="156"/>
    <col min="45" max="45" width="5" style="156" customWidth="1"/>
    <col min="46" max="46" width="17.5703125" style="156" customWidth="1"/>
    <col min="47" max="47" width="10" style="156" bestFit="1" customWidth="1"/>
    <col min="48" max="48" width="9.140625" style="156" hidden="1" customWidth="1" outlineLevel="1"/>
    <col min="49" max="49" width="9.140625" style="156" collapsed="1"/>
    <col min="50" max="50" width="9.140625" style="156"/>
    <col min="51" max="51" width="24" style="156" bestFit="1" customWidth="1"/>
    <col min="52" max="16384" width="9.140625" style="156"/>
  </cols>
  <sheetData>
    <row r="1" spans="1:35" ht="15" x14ac:dyDescent="0.25">
      <c r="A1" s="203" t="s">
        <v>314</v>
      </c>
    </row>
    <row r="2" spans="1:35" x14ac:dyDescent="0.2">
      <c r="A2" s="339">
        <f>'HWM- TSM'!C5</f>
        <v>110.83</v>
      </c>
    </row>
    <row r="3" spans="1:35" ht="15" x14ac:dyDescent="0.25">
      <c r="A3" s="340">
        <v>45646</v>
      </c>
      <c r="B3" s="208"/>
      <c r="C3" s="237" t="s">
        <v>241</v>
      </c>
      <c r="D3" s="237" t="s">
        <v>242</v>
      </c>
      <c r="E3" s="237" t="s">
        <v>243</v>
      </c>
      <c r="F3" s="237" t="s">
        <v>244</v>
      </c>
      <c r="G3" s="237" t="s">
        <v>245</v>
      </c>
      <c r="H3" s="237" t="s">
        <v>246</v>
      </c>
      <c r="I3" s="237" t="s">
        <v>247</v>
      </c>
      <c r="J3" s="237" t="s">
        <v>248</v>
      </c>
      <c r="K3" s="237" t="s">
        <v>250</v>
      </c>
      <c r="L3" s="237" t="s">
        <v>251</v>
      </c>
      <c r="M3" s="237" t="s">
        <v>252</v>
      </c>
      <c r="N3" s="237" t="s">
        <v>253</v>
      </c>
      <c r="O3" s="237" t="s">
        <v>255</v>
      </c>
      <c r="P3" s="237" t="s">
        <v>256</v>
      </c>
      <c r="Q3" s="237" t="s">
        <v>257</v>
      </c>
      <c r="R3" s="238" t="s">
        <v>258</v>
      </c>
      <c r="S3" s="238" t="s">
        <v>259</v>
      </c>
      <c r="T3" s="238" t="s">
        <v>260</v>
      </c>
      <c r="U3" s="238" t="s">
        <v>261</v>
      </c>
      <c r="V3" s="238" t="s">
        <v>262</v>
      </c>
      <c r="W3" s="232"/>
      <c r="X3" s="310">
        <v>2021</v>
      </c>
      <c r="Y3" s="310">
        <f t="shared" ref="Y3:AG3" si="0">X3+1</f>
        <v>2022</v>
      </c>
      <c r="Z3" s="310">
        <f>Y3+1</f>
        <v>2023</v>
      </c>
      <c r="AA3" s="311">
        <f t="shared" si="0"/>
        <v>2024</v>
      </c>
      <c r="AB3" s="311">
        <f t="shared" si="0"/>
        <v>2025</v>
      </c>
      <c r="AC3" s="311">
        <f t="shared" si="0"/>
        <v>2026</v>
      </c>
      <c r="AD3" s="311">
        <f t="shared" si="0"/>
        <v>2027</v>
      </c>
      <c r="AE3" s="311">
        <f t="shared" si="0"/>
        <v>2028</v>
      </c>
      <c r="AF3" s="311">
        <f t="shared" si="0"/>
        <v>2029</v>
      </c>
      <c r="AG3" s="311">
        <f t="shared" si="0"/>
        <v>2030</v>
      </c>
      <c r="AI3" s="311" t="s">
        <v>297</v>
      </c>
    </row>
    <row r="4" spans="1:35" ht="15" x14ac:dyDescent="0.25">
      <c r="B4" s="208"/>
      <c r="C4" s="237" t="s">
        <v>249</v>
      </c>
      <c r="D4" s="237" t="s">
        <v>249</v>
      </c>
      <c r="E4" s="237" t="s">
        <v>249</v>
      </c>
      <c r="F4" s="237" t="s">
        <v>249</v>
      </c>
      <c r="G4" s="237" t="s">
        <v>249</v>
      </c>
      <c r="H4" s="237" t="s">
        <v>249</v>
      </c>
      <c r="I4" s="237" t="s">
        <v>249</v>
      </c>
      <c r="J4" s="237" t="s">
        <v>249</v>
      </c>
      <c r="K4" s="237" t="s">
        <v>249</v>
      </c>
      <c r="L4" s="237" t="s">
        <v>249</v>
      </c>
      <c r="M4" s="237" t="s">
        <v>249</v>
      </c>
      <c r="N4" s="237" t="s">
        <v>249</v>
      </c>
      <c r="O4" s="237" t="s">
        <v>249</v>
      </c>
      <c r="P4" s="237" t="s">
        <v>249</v>
      </c>
      <c r="Q4" s="237" t="s">
        <v>249</v>
      </c>
      <c r="R4" s="238" t="s">
        <v>254</v>
      </c>
      <c r="S4" s="238" t="s">
        <v>254</v>
      </c>
      <c r="T4" s="238" t="s">
        <v>254</v>
      </c>
      <c r="U4" s="238" t="s">
        <v>254</v>
      </c>
      <c r="V4" s="238" t="s">
        <v>254</v>
      </c>
      <c r="W4" s="232"/>
      <c r="X4" s="237" t="s">
        <v>249</v>
      </c>
      <c r="Y4" s="237" t="s">
        <v>249</v>
      </c>
      <c r="Z4" s="237" t="s">
        <v>249</v>
      </c>
      <c r="AA4" s="238" t="s">
        <v>254</v>
      </c>
      <c r="AB4" s="238" t="s">
        <v>254</v>
      </c>
      <c r="AC4" s="238" t="s">
        <v>254</v>
      </c>
      <c r="AD4" s="238" t="s">
        <v>254</v>
      </c>
      <c r="AE4" s="238" t="s">
        <v>254</v>
      </c>
      <c r="AF4" s="238" t="s">
        <v>254</v>
      </c>
      <c r="AG4" s="238" t="s">
        <v>254</v>
      </c>
      <c r="AI4" s="370" t="s">
        <v>513</v>
      </c>
    </row>
    <row r="5" spans="1:35" outlineLevel="1" x14ac:dyDescent="0.2"/>
    <row r="6" spans="1:35" ht="15" outlineLevel="1" x14ac:dyDescent="0.25">
      <c r="B6" s="208" t="s">
        <v>224</v>
      </c>
      <c r="C6" s="207"/>
      <c r="D6" s="207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7"/>
      <c r="R6" s="207"/>
      <c r="S6" s="207"/>
      <c r="T6" s="207"/>
      <c r="U6" s="207"/>
      <c r="V6" s="207"/>
      <c r="X6" s="207"/>
      <c r="Y6" s="207"/>
      <c r="Z6" s="207"/>
      <c r="AA6" s="207"/>
      <c r="AB6" s="207"/>
      <c r="AC6" s="207"/>
      <c r="AD6" s="207"/>
      <c r="AE6" s="207"/>
      <c r="AF6" s="207"/>
      <c r="AG6" s="207"/>
    </row>
    <row r="7" spans="1:35" outlineLevel="1" x14ac:dyDescent="0.2"/>
    <row r="8" spans="1:35" ht="15" outlineLevel="1" x14ac:dyDescent="0.25">
      <c r="B8" s="188" t="s">
        <v>277</v>
      </c>
      <c r="C8" s="188"/>
      <c r="D8" s="188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188"/>
      <c r="R8" s="188"/>
      <c r="S8" s="188"/>
      <c r="T8" s="188"/>
      <c r="U8" s="188"/>
      <c r="V8" s="188"/>
      <c r="X8" s="188"/>
      <c r="Y8" s="188"/>
      <c r="Z8" s="188"/>
      <c r="AA8" s="188"/>
      <c r="AB8" s="188"/>
      <c r="AC8" s="188"/>
      <c r="AD8" s="188"/>
      <c r="AE8" s="188"/>
      <c r="AF8" s="188"/>
      <c r="AG8" s="188"/>
    </row>
    <row r="9" spans="1:35" outlineLevel="1" x14ac:dyDescent="0.2"/>
    <row r="10" spans="1:35" ht="15" outlineLevel="1" x14ac:dyDescent="0.25">
      <c r="B10" s="201" t="s">
        <v>225</v>
      </c>
      <c r="C10" s="209"/>
      <c r="D10" s="209"/>
      <c r="E10" s="209"/>
      <c r="F10" s="209"/>
      <c r="G10" s="209"/>
      <c r="H10" s="209"/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209"/>
      <c r="T10" s="209"/>
      <c r="U10" s="209"/>
      <c r="V10" s="209"/>
      <c r="X10" s="209"/>
      <c r="Y10" s="209"/>
      <c r="Z10" s="209"/>
      <c r="AA10" s="209"/>
      <c r="AB10" s="209"/>
      <c r="AC10" s="209"/>
      <c r="AD10" s="209"/>
      <c r="AE10" s="209"/>
      <c r="AF10" s="209"/>
      <c r="AG10" s="209"/>
    </row>
    <row r="11" spans="1:35" outlineLevel="1" x14ac:dyDescent="0.2">
      <c r="B11" s="213">
        <v>737</v>
      </c>
      <c r="C11" s="199">
        <v>63</v>
      </c>
      <c r="D11" s="199">
        <v>50</v>
      </c>
      <c r="E11" s="199">
        <v>66</v>
      </c>
      <c r="F11" s="199">
        <v>84</v>
      </c>
      <c r="G11" s="199">
        <v>86</v>
      </c>
      <c r="H11" s="199">
        <v>103</v>
      </c>
      <c r="I11" s="199">
        <v>88</v>
      </c>
      <c r="J11" s="199">
        <v>110</v>
      </c>
      <c r="K11" s="199">
        <v>113</v>
      </c>
      <c r="L11" s="199">
        <v>103</v>
      </c>
      <c r="M11" s="199">
        <v>70</v>
      </c>
      <c r="N11" s="199">
        <v>110</v>
      </c>
      <c r="O11" s="199">
        <v>67</v>
      </c>
      <c r="P11" s="199">
        <v>70</v>
      </c>
      <c r="Q11" s="199">
        <v>92</v>
      </c>
      <c r="R11" s="216">
        <f>20*3</f>
        <v>60</v>
      </c>
      <c r="S11" s="216">
        <f t="shared" ref="S11:V11" si="1">20*3</f>
        <v>60</v>
      </c>
      <c r="T11" s="216">
        <f t="shared" si="1"/>
        <v>60</v>
      </c>
      <c r="U11" s="216">
        <f t="shared" si="1"/>
        <v>60</v>
      </c>
      <c r="V11" s="216">
        <f t="shared" si="1"/>
        <v>60</v>
      </c>
      <c r="X11" s="182">
        <f>SUM(C11:F11)</f>
        <v>263</v>
      </c>
      <c r="Y11" s="182">
        <f>SUM(G11:J11)</f>
        <v>387</v>
      </c>
      <c r="Z11" s="182">
        <f>SUM(K11:N11)</f>
        <v>396</v>
      </c>
      <c r="AA11" s="182">
        <f>SUM(O11:R11)</f>
        <v>289</v>
      </c>
      <c r="AB11" s="182">
        <f>SUM(S11:V11)</f>
        <v>240</v>
      </c>
      <c r="AC11" s="223"/>
      <c r="AD11" s="223"/>
      <c r="AE11" s="223"/>
      <c r="AF11" s="223"/>
      <c r="AG11" s="223"/>
    </row>
    <row r="12" spans="1:35" outlineLevel="1" x14ac:dyDescent="0.2">
      <c r="B12" s="213">
        <v>747</v>
      </c>
      <c r="C12" s="199">
        <v>1</v>
      </c>
      <c r="D12" s="199">
        <v>1</v>
      </c>
      <c r="E12" s="199">
        <v>2</v>
      </c>
      <c r="F12" s="199">
        <v>3</v>
      </c>
      <c r="G12" s="199">
        <v>1</v>
      </c>
      <c r="H12" s="199">
        <v>2</v>
      </c>
      <c r="I12" s="199">
        <v>0</v>
      </c>
      <c r="J12" s="199">
        <v>2</v>
      </c>
      <c r="K12" s="199">
        <v>1</v>
      </c>
      <c r="L12" s="199">
        <v>0</v>
      </c>
      <c r="M12" s="199">
        <v>0</v>
      </c>
      <c r="N12" s="199">
        <v>0</v>
      </c>
      <c r="O12" s="199">
        <v>0</v>
      </c>
      <c r="P12" s="199">
        <v>0</v>
      </c>
      <c r="Q12" s="199">
        <v>0</v>
      </c>
      <c r="R12" s="216">
        <f t="shared" ref="R12:R15" si="2">ROUND(N12*(1+R$17),0)</f>
        <v>0</v>
      </c>
      <c r="S12" s="216">
        <f t="shared" ref="S12:V15" si="3">ROUND(O12*(1+S$17),0)</f>
        <v>0</v>
      </c>
      <c r="T12" s="216">
        <f t="shared" si="3"/>
        <v>0</v>
      </c>
      <c r="U12" s="216">
        <f t="shared" si="3"/>
        <v>0</v>
      </c>
      <c r="V12" s="216">
        <f t="shared" si="3"/>
        <v>0</v>
      </c>
      <c r="X12" s="182">
        <f>SUM(C12:F12)</f>
        <v>7</v>
      </c>
      <c r="Y12" s="182">
        <f>SUM(G12:J12)</f>
        <v>5</v>
      </c>
      <c r="Z12" s="182">
        <f>SUM(K12:N12)</f>
        <v>1</v>
      </c>
      <c r="AA12" s="182">
        <f>SUM(O12:R12)</f>
        <v>0</v>
      </c>
      <c r="AB12" s="182">
        <f>SUM(S12:V12)</f>
        <v>0</v>
      </c>
      <c r="AC12" s="223"/>
      <c r="AD12" s="223"/>
      <c r="AE12" s="223"/>
      <c r="AF12" s="223"/>
      <c r="AG12" s="223"/>
    </row>
    <row r="13" spans="1:35" outlineLevel="1" x14ac:dyDescent="0.2">
      <c r="B13" s="213">
        <v>767</v>
      </c>
      <c r="C13" s="199">
        <v>5</v>
      </c>
      <c r="D13" s="199">
        <v>8</v>
      </c>
      <c r="E13" s="199">
        <v>11</v>
      </c>
      <c r="F13" s="199">
        <v>8</v>
      </c>
      <c r="G13" s="199">
        <v>5</v>
      </c>
      <c r="H13" s="199">
        <v>7</v>
      </c>
      <c r="I13" s="199">
        <v>9</v>
      </c>
      <c r="J13" s="199">
        <v>12</v>
      </c>
      <c r="K13" s="199">
        <v>1</v>
      </c>
      <c r="L13" s="199">
        <v>8</v>
      </c>
      <c r="M13" s="199">
        <v>8</v>
      </c>
      <c r="N13" s="199">
        <v>15</v>
      </c>
      <c r="O13" s="199">
        <v>3</v>
      </c>
      <c r="P13" s="199">
        <v>6</v>
      </c>
      <c r="Q13" s="199">
        <v>6</v>
      </c>
      <c r="R13" s="216">
        <f t="shared" si="2"/>
        <v>11</v>
      </c>
      <c r="S13" s="216">
        <f t="shared" si="3"/>
        <v>4</v>
      </c>
      <c r="T13" s="216">
        <f t="shared" si="3"/>
        <v>7</v>
      </c>
      <c r="U13" s="216">
        <f t="shared" si="3"/>
        <v>7</v>
      </c>
      <c r="V13" s="216">
        <f t="shared" si="3"/>
        <v>15</v>
      </c>
      <c r="X13" s="182">
        <f>SUM(C13:F13)</f>
        <v>32</v>
      </c>
      <c r="Y13" s="182">
        <f>SUM(G13:J13)</f>
        <v>33</v>
      </c>
      <c r="Z13" s="182">
        <f>SUM(K13:N13)</f>
        <v>32</v>
      </c>
      <c r="AA13" s="182">
        <f>SUM(O13:R13)</f>
        <v>26</v>
      </c>
      <c r="AB13" s="182">
        <f>SUM(S13:V13)</f>
        <v>33</v>
      </c>
      <c r="AC13" s="223"/>
      <c r="AD13" s="223"/>
      <c r="AE13" s="223"/>
      <c r="AF13" s="223"/>
      <c r="AG13" s="223"/>
    </row>
    <row r="14" spans="1:35" outlineLevel="1" x14ac:dyDescent="0.2">
      <c r="B14" s="213">
        <v>777</v>
      </c>
      <c r="C14" s="199">
        <v>6</v>
      </c>
      <c r="D14" s="199">
        <v>8</v>
      </c>
      <c r="E14" s="199">
        <v>6</v>
      </c>
      <c r="F14" s="199">
        <v>4</v>
      </c>
      <c r="G14" s="199">
        <v>3</v>
      </c>
      <c r="H14" s="199">
        <v>9</v>
      </c>
      <c r="I14" s="199">
        <v>6</v>
      </c>
      <c r="J14" s="199">
        <v>6</v>
      </c>
      <c r="K14" s="199">
        <v>4</v>
      </c>
      <c r="L14" s="199">
        <v>5</v>
      </c>
      <c r="M14" s="199">
        <v>8</v>
      </c>
      <c r="N14" s="199">
        <v>9</v>
      </c>
      <c r="O14" s="199">
        <v>0</v>
      </c>
      <c r="P14" s="199">
        <v>7</v>
      </c>
      <c r="Q14" s="199">
        <v>4</v>
      </c>
      <c r="R14" s="216">
        <f t="shared" si="2"/>
        <v>7</v>
      </c>
      <c r="S14" s="216">
        <f t="shared" si="3"/>
        <v>0</v>
      </c>
      <c r="T14" s="216">
        <f t="shared" si="3"/>
        <v>9</v>
      </c>
      <c r="U14" s="216">
        <f t="shared" si="3"/>
        <v>5</v>
      </c>
      <c r="V14" s="216">
        <f t="shared" si="3"/>
        <v>10</v>
      </c>
      <c r="X14" s="182">
        <f>SUM(C14:F14)</f>
        <v>24</v>
      </c>
      <c r="Y14" s="182">
        <f>SUM(G14:J14)</f>
        <v>24</v>
      </c>
      <c r="Z14" s="182">
        <f>SUM(K14:N14)</f>
        <v>26</v>
      </c>
      <c r="AA14" s="182">
        <f>SUM(O14:R14)</f>
        <v>18</v>
      </c>
      <c r="AB14" s="182">
        <f t="shared" ref="AB14:AB15" si="4">SUM(S14:V14)</f>
        <v>24</v>
      </c>
      <c r="AC14" s="223"/>
      <c r="AD14" s="223"/>
      <c r="AE14" s="223"/>
      <c r="AF14" s="223"/>
      <c r="AG14" s="223"/>
    </row>
    <row r="15" spans="1:35" outlineLevel="1" x14ac:dyDescent="0.2">
      <c r="B15" s="213">
        <v>787</v>
      </c>
      <c r="C15" s="199">
        <v>2</v>
      </c>
      <c r="D15" s="199">
        <v>12</v>
      </c>
      <c r="E15" s="199">
        <v>0</v>
      </c>
      <c r="F15" s="199">
        <v>0</v>
      </c>
      <c r="G15" s="199">
        <v>0</v>
      </c>
      <c r="H15" s="199">
        <v>0</v>
      </c>
      <c r="I15" s="199">
        <v>9</v>
      </c>
      <c r="J15" s="199">
        <v>22</v>
      </c>
      <c r="K15" s="199">
        <v>11</v>
      </c>
      <c r="L15" s="199">
        <v>20</v>
      </c>
      <c r="M15" s="199">
        <v>19</v>
      </c>
      <c r="N15" s="199">
        <v>23</v>
      </c>
      <c r="O15" s="199">
        <v>13</v>
      </c>
      <c r="P15" s="199">
        <v>9</v>
      </c>
      <c r="Q15" s="199">
        <v>14</v>
      </c>
      <c r="R15" s="216">
        <f t="shared" si="2"/>
        <v>17</v>
      </c>
      <c r="S15" s="216">
        <f t="shared" si="3"/>
        <v>15</v>
      </c>
      <c r="T15" s="216">
        <f t="shared" si="3"/>
        <v>11</v>
      </c>
      <c r="U15" s="216">
        <f t="shared" si="3"/>
        <v>17</v>
      </c>
      <c r="V15" s="216">
        <f t="shared" si="3"/>
        <v>24</v>
      </c>
      <c r="X15" s="182">
        <f>SUM(C15:F15)</f>
        <v>14</v>
      </c>
      <c r="Y15" s="182">
        <f>SUM(G15:J15)</f>
        <v>31</v>
      </c>
      <c r="Z15" s="182">
        <f>SUM(K15:N15)</f>
        <v>73</v>
      </c>
      <c r="AA15" s="182">
        <f>SUM(O15:R15)</f>
        <v>53</v>
      </c>
      <c r="AB15" s="182">
        <f t="shared" si="4"/>
        <v>67</v>
      </c>
      <c r="AC15" s="223"/>
      <c r="AD15" s="223"/>
      <c r="AE15" s="223"/>
      <c r="AF15" s="223"/>
      <c r="AG15" s="223"/>
    </row>
    <row r="16" spans="1:35" ht="15" outlineLevel="1" x14ac:dyDescent="0.25">
      <c r="B16" s="164" t="s">
        <v>226</v>
      </c>
      <c r="C16" s="202">
        <f t="shared" ref="C16:Q16" si="5">SUM(C11:C15)</f>
        <v>77</v>
      </c>
      <c r="D16" s="202">
        <f t="shared" si="5"/>
        <v>79</v>
      </c>
      <c r="E16" s="202">
        <f t="shared" si="5"/>
        <v>85</v>
      </c>
      <c r="F16" s="202">
        <f t="shared" si="5"/>
        <v>99</v>
      </c>
      <c r="G16" s="202">
        <f t="shared" si="5"/>
        <v>95</v>
      </c>
      <c r="H16" s="202">
        <f t="shared" si="5"/>
        <v>121</v>
      </c>
      <c r="I16" s="202">
        <f t="shared" si="5"/>
        <v>112</v>
      </c>
      <c r="J16" s="202">
        <f t="shared" si="5"/>
        <v>152</v>
      </c>
      <c r="K16" s="202">
        <f t="shared" si="5"/>
        <v>130</v>
      </c>
      <c r="L16" s="202">
        <f t="shared" si="5"/>
        <v>136</v>
      </c>
      <c r="M16" s="202">
        <f t="shared" si="5"/>
        <v>105</v>
      </c>
      <c r="N16" s="202">
        <f t="shared" si="5"/>
        <v>157</v>
      </c>
      <c r="O16" s="202">
        <f t="shared" si="5"/>
        <v>83</v>
      </c>
      <c r="P16" s="202">
        <f t="shared" si="5"/>
        <v>92</v>
      </c>
      <c r="Q16" s="202">
        <f t="shared" si="5"/>
        <v>116</v>
      </c>
      <c r="R16" s="202">
        <f t="shared" ref="R16:V16" si="6">SUM(R11:R15)</f>
        <v>95</v>
      </c>
      <c r="S16" s="202">
        <f t="shared" si="6"/>
        <v>79</v>
      </c>
      <c r="T16" s="202">
        <f t="shared" si="6"/>
        <v>87</v>
      </c>
      <c r="U16" s="202">
        <f t="shared" si="6"/>
        <v>89</v>
      </c>
      <c r="V16" s="202">
        <f t="shared" si="6"/>
        <v>109</v>
      </c>
      <c r="X16" s="206">
        <f>SUM(X11:X15)</f>
        <v>340</v>
      </c>
      <c r="Y16" s="206">
        <f>SUM(Y11:Y15)</f>
        <v>480</v>
      </c>
      <c r="Z16" s="206">
        <f>SUM(Z11:Z15)</f>
        <v>528</v>
      </c>
      <c r="AA16" s="206">
        <f>SUM(AA11:AA15)</f>
        <v>386</v>
      </c>
      <c r="AB16" s="206">
        <f>AA16*(1+AB17)</f>
        <v>486.36</v>
      </c>
      <c r="AC16" s="206">
        <f>AB16*(1+AC17)</f>
        <v>515.54160000000002</v>
      </c>
      <c r="AD16" s="206">
        <f t="shared" ref="AD16:AG16" si="7">AC16*(1+AD17)</f>
        <v>546.47409600000003</v>
      </c>
      <c r="AE16" s="206">
        <f t="shared" si="7"/>
        <v>579.26254176000009</v>
      </c>
      <c r="AF16" s="206">
        <f t="shared" si="7"/>
        <v>614.01829426560016</v>
      </c>
      <c r="AG16" s="206">
        <f t="shared" si="7"/>
        <v>650.85939192153626</v>
      </c>
      <c r="AI16" s="197">
        <f>RATE(7,,-Z16,AG16)</f>
        <v>3.033638400305946E-2</v>
      </c>
    </row>
    <row r="17" spans="2:35" outlineLevel="1" x14ac:dyDescent="0.2">
      <c r="B17" s="185" t="s">
        <v>292</v>
      </c>
      <c r="G17" s="180">
        <f>G16/C16-1</f>
        <v>0.23376623376623384</v>
      </c>
      <c r="H17" s="180">
        <f t="shared" ref="H17:Q17" si="8">H16/D16-1</f>
        <v>0.53164556962025311</v>
      </c>
      <c r="I17" s="180">
        <f t="shared" si="8"/>
        <v>0.31764705882352939</v>
      </c>
      <c r="J17" s="180">
        <f t="shared" si="8"/>
        <v>0.53535353535353525</v>
      </c>
      <c r="K17" s="180">
        <f t="shared" si="8"/>
        <v>0.36842105263157898</v>
      </c>
      <c r="L17" s="180">
        <f t="shared" si="8"/>
        <v>0.12396694214876036</v>
      </c>
      <c r="M17" s="180">
        <f t="shared" si="8"/>
        <v>-6.25E-2</v>
      </c>
      <c r="N17" s="180">
        <f t="shared" si="8"/>
        <v>3.289473684210531E-2</v>
      </c>
      <c r="O17" s="180">
        <f t="shared" si="8"/>
        <v>-0.36153846153846159</v>
      </c>
      <c r="P17" s="180">
        <f t="shared" si="8"/>
        <v>-0.32352941176470584</v>
      </c>
      <c r="Q17" s="180">
        <f t="shared" si="8"/>
        <v>0.10476190476190483</v>
      </c>
      <c r="R17" s="181">
        <v>-0.24</v>
      </c>
      <c r="S17" s="181">
        <v>0.18</v>
      </c>
      <c r="T17" s="181">
        <v>0.23</v>
      </c>
      <c r="U17" s="181">
        <v>0.23</v>
      </c>
      <c r="V17" s="181">
        <v>0.4</v>
      </c>
      <c r="Y17" s="248">
        <f>Y16/X16-1</f>
        <v>0.41176470588235303</v>
      </c>
      <c r="Z17" s="248">
        <f t="shared" ref="Z17:AA17" si="9">Z16/Y16-1</f>
        <v>0.10000000000000009</v>
      </c>
      <c r="AA17" s="248">
        <f t="shared" si="9"/>
        <v>-0.26893939393939392</v>
      </c>
      <c r="AB17" s="250">
        <v>0.26</v>
      </c>
      <c r="AC17" s="250">
        <v>0.06</v>
      </c>
      <c r="AD17" s="250">
        <f>AC17</f>
        <v>0.06</v>
      </c>
      <c r="AE17" s="250">
        <f t="shared" ref="AE17:AG17" si="10">AD17</f>
        <v>0.06</v>
      </c>
      <c r="AF17" s="250">
        <f t="shared" si="10"/>
        <v>0.06</v>
      </c>
      <c r="AG17" s="250">
        <f t="shared" si="10"/>
        <v>0.06</v>
      </c>
    </row>
    <row r="18" spans="2:35" outlineLevel="1" x14ac:dyDescent="0.2"/>
    <row r="19" spans="2:35" ht="15" outlineLevel="1" x14ac:dyDescent="0.25">
      <c r="B19" s="201" t="s">
        <v>227</v>
      </c>
      <c r="C19" s="209"/>
      <c r="D19" s="209"/>
      <c r="E19" s="209"/>
      <c r="F19" s="209"/>
      <c r="G19" s="209"/>
      <c r="H19" s="209"/>
      <c r="I19" s="209"/>
      <c r="J19" s="209"/>
      <c r="K19" s="209"/>
      <c r="L19" s="209"/>
      <c r="M19" s="209"/>
      <c r="N19" s="209"/>
      <c r="O19" s="209"/>
      <c r="P19" s="209"/>
      <c r="Q19" s="209"/>
      <c r="R19" s="209"/>
      <c r="S19" s="209"/>
      <c r="T19" s="209"/>
      <c r="U19" s="209"/>
      <c r="V19" s="209"/>
      <c r="X19" s="209"/>
      <c r="Y19" s="209"/>
      <c r="Z19" s="209"/>
      <c r="AA19" s="209"/>
      <c r="AB19" s="209"/>
      <c r="AC19" s="209"/>
      <c r="AD19" s="209"/>
      <c r="AE19" s="209"/>
      <c r="AF19" s="209"/>
      <c r="AG19" s="209"/>
    </row>
    <row r="20" spans="2:35" outlineLevel="1" x14ac:dyDescent="0.2">
      <c r="B20" s="156" t="s">
        <v>228</v>
      </c>
      <c r="C20" s="200"/>
      <c r="D20" s="200"/>
      <c r="E20" s="200"/>
      <c r="F20" s="200"/>
      <c r="G20" s="200"/>
      <c r="H20" s="200"/>
      <c r="I20" s="200"/>
      <c r="J20" s="200"/>
      <c r="K20" s="200"/>
      <c r="L20" s="200"/>
      <c r="M20" s="200"/>
      <c r="N20" s="200"/>
      <c r="O20" s="200"/>
      <c r="P20" s="200"/>
      <c r="Q20" s="200"/>
      <c r="R20" s="200"/>
      <c r="S20" s="200"/>
      <c r="T20" s="200"/>
      <c r="U20" s="200"/>
      <c r="V20" s="200"/>
      <c r="X20" s="182">
        <f>SUM(C20:F20)</f>
        <v>0</v>
      </c>
      <c r="Y20" s="182">
        <f>SUM(G20:J20)</f>
        <v>0</v>
      </c>
      <c r="Z20" s="182">
        <f>SUM(K20:N20)</f>
        <v>0</v>
      </c>
      <c r="AA20" s="182">
        <f>SUM(O20:R20)</f>
        <v>0</v>
      </c>
      <c r="AB20" s="182">
        <f t="shared" ref="AB20:AB23" si="11">SUM(S20:V20)</f>
        <v>0</v>
      </c>
      <c r="AC20" s="182"/>
      <c r="AD20" s="182"/>
      <c r="AE20" s="182"/>
      <c r="AF20" s="182"/>
      <c r="AG20" s="182"/>
    </row>
    <row r="21" spans="2:35" outlineLevel="1" x14ac:dyDescent="0.2">
      <c r="B21" s="156" t="s">
        <v>229</v>
      </c>
      <c r="C21" s="200"/>
      <c r="D21" s="200"/>
      <c r="E21" s="200"/>
      <c r="F21" s="200"/>
      <c r="G21" s="200"/>
      <c r="H21" s="200"/>
      <c r="I21" s="200"/>
      <c r="J21" s="200"/>
      <c r="K21" s="200"/>
      <c r="L21" s="200"/>
      <c r="M21" s="200"/>
      <c r="N21" s="200"/>
      <c r="O21" s="200"/>
      <c r="P21" s="200"/>
      <c r="Q21" s="200"/>
      <c r="R21" s="200"/>
      <c r="S21" s="200"/>
      <c r="T21" s="200"/>
      <c r="U21" s="200"/>
      <c r="V21" s="200"/>
      <c r="X21" s="182">
        <f>SUM(C21:F21)</f>
        <v>0</v>
      </c>
      <c r="Y21" s="182">
        <f>SUM(G21:J21)</f>
        <v>0</v>
      </c>
      <c r="Z21" s="182">
        <f>SUM(K21:N21)</f>
        <v>0</v>
      </c>
      <c r="AA21" s="182">
        <f>SUM(O21:R21)</f>
        <v>0</v>
      </c>
      <c r="AB21" s="182">
        <f t="shared" si="11"/>
        <v>0</v>
      </c>
      <c r="AC21" s="182"/>
      <c r="AD21" s="182"/>
      <c r="AE21" s="182"/>
      <c r="AF21" s="182"/>
      <c r="AG21" s="182"/>
    </row>
    <row r="22" spans="2:35" outlineLevel="1" x14ac:dyDescent="0.2">
      <c r="B22" s="156" t="s">
        <v>230</v>
      </c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200"/>
      <c r="P22" s="200"/>
      <c r="Q22" s="200"/>
      <c r="R22" s="200"/>
      <c r="S22" s="200"/>
      <c r="T22" s="200"/>
      <c r="U22" s="200"/>
      <c r="V22" s="200"/>
      <c r="X22" s="182">
        <f>SUM(C22:F22)</f>
        <v>0</v>
      </c>
      <c r="Y22" s="182">
        <f>SUM(G22:J22)</f>
        <v>0</v>
      </c>
      <c r="Z22" s="182">
        <f>SUM(K22:N22)</f>
        <v>0</v>
      </c>
      <c r="AA22" s="182">
        <f>SUM(O22:R22)</f>
        <v>0</v>
      </c>
      <c r="AB22" s="182">
        <f t="shared" si="11"/>
        <v>0</v>
      </c>
      <c r="AC22" s="182"/>
      <c r="AD22" s="182"/>
      <c r="AE22" s="182"/>
      <c r="AF22" s="182"/>
      <c r="AG22" s="182"/>
    </row>
    <row r="23" spans="2:35" outlineLevel="1" x14ac:dyDescent="0.2">
      <c r="B23" s="156" t="s">
        <v>231</v>
      </c>
      <c r="C23" s="200"/>
      <c r="D23" s="200"/>
      <c r="E23" s="200"/>
      <c r="F23" s="200"/>
      <c r="G23" s="200"/>
      <c r="H23" s="200"/>
      <c r="I23" s="200"/>
      <c r="J23" s="200"/>
      <c r="K23" s="200"/>
      <c r="L23" s="200"/>
      <c r="M23" s="200"/>
      <c r="N23" s="200"/>
      <c r="O23" s="200"/>
      <c r="P23" s="200"/>
      <c r="Q23" s="200"/>
      <c r="R23" s="200"/>
      <c r="S23" s="200"/>
      <c r="T23" s="200"/>
      <c r="U23" s="200"/>
      <c r="V23" s="200"/>
      <c r="X23" s="182">
        <f>SUM(C23:F23)</f>
        <v>0</v>
      </c>
      <c r="Y23" s="182">
        <f>SUM(G23:J23)</f>
        <v>0</v>
      </c>
      <c r="Z23" s="182">
        <f>SUM(K23:N23)</f>
        <v>0</v>
      </c>
      <c r="AA23" s="182">
        <f>SUM(O23:R23)</f>
        <v>0</v>
      </c>
      <c r="AB23" s="182">
        <f t="shared" si="11"/>
        <v>0</v>
      </c>
      <c r="AC23" s="182"/>
      <c r="AD23" s="182"/>
      <c r="AE23" s="182"/>
      <c r="AF23" s="182"/>
      <c r="AG23" s="182"/>
    </row>
    <row r="24" spans="2:35" ht="15" outlineLevel="1" x14ac:dyDescent="0.25">
      <c r="B24" s="164" t="s">
        <v>232</v>
      </c>
      <c r="C24" s="239">
        <v>125</v>
      </c>
      <c r="D24" s="239">
        <f>297-C24</f>
        <v>172</v>
      </c>
      <c r="E24" s="239">
        <f>424-SUM(C24:D24)</f>
        <v>127</v>
      </c>
      <c r="F24" s="239">
        <f>611-SUM(C24:E24)</f>
        <v>187</v>
      </c>
      <c r="G24" s="239">
        <v>142</v>
      </c>
      <c r="H24" s="239">
        <f>297-G24</f>
        <v>155</v>
      </c>
      <c r="I24" s="239">
        <f>437-SUM(G24:H24)</f>
        <v>140</v>
      </c>
      <c r="J24" s="239">
        <f>661-SUM(G24:I24)</f>
        <v>224</v>
      </c>
      <c r="K24" s="239">
        <v>127</v>
      </c>
      <c r="L24" s="239">
        <f>316-K24</f>
        <v>189</v>
      </c>
      <c r="M24" s="239">
        <f>488-SUM(K24:L24)</f>
        <v>172</v>
      </c>
      <c r="N24" s="239">
        <f>735-SUM(K24:M24)</f>
        <v>247</v>
      </c>
      <c r="O24" s="239">
        <v>142</v>
      </c>
      <c r="P24" s="239">
        <f>323-O24</f>
        <v>181</v>
      </c>
      <c r="Q24" s="239">
        <f>497-SUM(O24:P24)</f>
        <v>174</v>
      </c>
      <c r="R24" s="239">
        <f>770-SUM(O24:Q24)</f>
        <v>273</v>
      </c>
      <c r="S24" s="239">
        <f>820/4</f>
        <v>205</v>
      </c>
      <c r="T24" s="239">
        <f>S24</f>
        <v>205</v>
      </c>
      <c r="U24" s="239">
        <f t="shared" ref="U24:V24" si="12">T24</f>
        <v>205</v>
      </c>
      <c r="V24" s="239">
        <f t="shared" si="12"/>
        <v>205</v>
      </c>
      <c r="X24" s="241">
        <f>SUM(C24:F24)</f>
        <v>611</v>
      </c>
      <c r="Y24" s="241">
        <f>SUM(G24:J24)</f>
        <v>661</v>
      </c>
      <c r="Z24" s="241">
        <f>SUM(K24:N24)</f>
        <v>735</v>
      </c>
      <c r="AA24" s="241">
        <f>SUM(O24:R24)</f>
        <v>770</v>
      </c>
      <c r="AB24" s="241">
        <f t="shared" ref="AB24" si="13">SUM(S24:V24)</f>
        <v>820</v>
      </c>
      <c r="AC24" s="206">
        <f>AB24*(1+AC25)</f>
        <v>869.2</v>
      </c>
      <c r="AD24" s="206">
        <f t="shared" ref="AD24" si="14">AC24*(1+AD25)</f>
        <v>921.35200000000009</v>
      </c>
      <c r="AE24" s="206">
        <f t="shared" ref="AE24" si="15">AD24*(1+AE25)</f>
        <v>976.63312000000019</v>
      </c>
      <c r="AF24" s="206">
        <f t="shared" ref="AF24" si="16">AE24*(1+AF25)</f>
        <v>1035.2311072000002</v>
      </c>
      <c r="AG24" s="206">
        <f t="shared" ref="AG24" si="17">AF24*(1+AG25)</f>
        <v>1097.3449736320003</v>
      </c>
      <c r="AI24" s="197">
        <f>RATE(7,,-Z24,AG24)</f>
        <v>5.892480086091674E-2</v>
      </c>
    </row>
    <row r="25" spans="2:35" outlineLevel="1" x14ac:dyDescent="0.2">
      <c r="C25" s="199"/>
      <c r="D25" s="199"/>
      <c r="E25" s="199"/>
      <c r="F25" s="199"/>
      <c r="G25" s="199"/>
      <c r="H25" s="199"/>
      <c r="I25" s="199"/>
      <c r="J25" s="199"/>
      <c r="K25" s="199"/>
      <c r="L25" s="199"/>
      <c r="M25" s="199"/>
      <c r="N25" s="199"/>
      <c r="O25" s="199"/>
      <c r="P25" s="199"/>
      <c r="Q25" s="199"/>
      <c r="R25" s="199"/>
      <c r="S25" s="199"/>
      <c r="T25" s="199"/>
      <c r="U25" s="199"/>
      <c r="V25" s="199"/>
      <c r="AC25" s="250">
        <v>0.06</v>
      </c>
      <c r="AD25" s="250">
        <f>AC25</f>
        <v>0.06</v>
      </c>
      <c r="AE25" s="250">
        <f t="shared" ref="AE25" si="18">AD25</f>
        <v>0.06</v>
      </c>
      <c r="AF25" s="250">
        <f t="shared" ref="AF25" si="19">AE25</f>
        <v>0.06</v>
      </c>
      <c r="AG25" s="250">
        <f t="shared" ref="AG25" si="20">AF25</f>
        <v>0.06</v>
      </c>
    </row>
    <row r="26" spans="2:35" ht="15" outlineLevel="1" x14ac:dyDescent="0.25">
      <c r="B26" s="201" t="s">
        <v>233</v>
      </c>
      <c r="C26" s="209"/>
      <c r="D26" s="209"/>
      <c r="E26" s="209"/>
      <c r="F26" s="209"/>
      <c r="G26" s="209"/>
      <c r="H26" s="209"/>
      <c r="I26" s="209"/>
      <c r="J26" s="209"/>
      <c r="K26" s="209"/>
      <c r="L26" s="209"/>
      <c r="M26" s="209"/>
      <c r="N26" s="209"/>
      <c r="O26" s="209"/>
      <c r="P26" s="209"/>
      <c r="Q26" s="209"/>
      <c r="R26" s="209"/>
      <c r="S26" s="209"/>
      <c r="T26" s="209"/>
      <c r="U26" s="209"/>
      <c r="V26" s="209"/>
      <c r="X26" s="209"/>
      <c r="Y26" s="209"/>
      <c r="Z26" s="209"/>
      <c r="AA26" s="209"/>
      <c r="AB26" s="209"/>
      <c r="AC26" s="209"/>
      <c r="AD26" s="209"/>
      <c r="AE26" s="209"/>
      <c r="AF26" s="209"/>
      <c r="AG26" s="209"/>
    </row>
    <row r="27" spans="2:35" ht="15" outlineLevel="1" x14ac:dyDescent="0.25">
      <c r="B27" s="164" t="s">
        <v>234</v>
      </c>
      <c r="C27" s="202">
        <f>48/4</f>
        <v>12</v>
      </c>
      <c r="D27" s="202">
        <f t="shared" ref="D27:F27" si="21">48/4</f>
        <v>12</v>
      </c>
      <c r="E27" s="202">
        <f t="shared" si="21"/>
        <v>12</v>
      </c>
      <c r="F27" s="202">
        <f t="shared" si="21"/>
        <v>12</v>
      </c>
      <c r="G27" s="202">
        <f>ROUND(57/4,0)</f>
        <v>14</v>
      </c>
      <c r="H27" s="202">
        <f t="shared" ref="H27:J27" si="22">ROUND(57/4,0)</f>
        <v>14</v>
      </c>
      <c r="I27" s="202">
        <f t="shared" si="22"/>
        <v>14</v>
      </c>
      <c r="J27" s="202">
        <f t="shared" si="22"/>
        <v>14</v>
      </c>
      <c r="K27" s="202">
        <f>64/4</f>
        <v>16</v>
      </c>
      <c r="L27" s="202">
        <f t="shared" ref="L27:N27" si="23">64/4</f>
        <v>16</v>
      </c>
      <c r="M27" s="202">
        <f t="shared" si="23"/>
        <v>16</v>
      </c>
      <c r="N27" s="202">
        <f t="shared" si="23"/>
        <v>16</v>
      </c>
      <c r="O27" s="240">
        <v>18</v>
      </c>
      <c r="P27" s="240">
        <v>18</v>
      </c>
      <c r="Q27" s="240">
        <v>18</v>
      </c>
      <c r="R27" s="240">
        <v>18</v>
      </c>
      <c r="S27" s="240">
        <v>20</v>
      </c>
      <c r="T27" s="240">
        <v>20</v>
      </c>
      <c r="U27" s="240">
        <v>20</v>
      </c>
      <c r="V27" s="240">
        <v>20</v>
      </c>
      <c r="X27" s="206">
        <f>SUM(C27:F27)</f>
        <v>48</v>
      </c>
      <c r="Y27" s="206">
        <f>SUM(G27:J27)</f>
        <v>56</v>
      </c>
      <c r="Z27" s="206">
        <f>SUM(K27:N27)</f>
        <v>64</v>
      </c>
      <c r="AA27" s="206">
        <f>SUM(O27:R27)</f>
        <v>72</v>
      </c>
      <c r="AB27" s="206">
        <f t="shared" ref="AB27" si="24">SUM(S27:V27)</f>
        <v>80</v>
      </c>
      <c r="AC27" s="206">
        <f>AB27*(1+AC28)</f>
        <v>84.800000000000011</v>
      </c>
      <c r="AD27" s="206">
        <f t="shared" ref="AD27" si="25">AC27*(1+AD28)</f>
        <v>89.888000000000019</v>
      </c>
      <c r="AE27" s="206">
        <f t="shared" ref="AE27" si="26">AD27*(1+AE28)</f>
        <v>95.281280000000024</v>
      </c>
      <c r="AF27" s="206">
        <f t="shared" ref="AF27" si="27">AE27*(1+AF28)</f>
        <v>100.99815680000003</v>
      </c>
      <c r="AG27" s="206">
        <f t="shared" ref="AG27" si="28">AF27*(1+AG28)</f>
        <v>107.05804620800004</v>
      </c>
      <c r="AI27" s="197">
        <f>RATE(7,,-Z27,AG27)</f>
        <v>7.6266705776781671E-2</v>
      </c>
    </row>
    <row r="28" spans="2:35" ht="15" outlineLevel="1" x14ac:dyDescent="0.25">
      <c r="B28" s="203"/>
      <c r="C28" s="204"/>
      <c r="D28" s="204"/>
      <c r="E28" s="204"/>
      <c r="F28" s="204"/>
      <c r="G28" s="204"/>
      <c r="H28" s="204"/>
      <c r="I28" s="204"/>
      <c r="J28" s="204"/>
      <c r="K28" s="204"/>
      <c r="L28" s="204"/>
      <c r="M28" s="204"/>
      <c r="N28" s="204"/>
      <c r="O28" s="204"/>
      <c r="P28" s="204"/>
      <c r="Q28" s="204"/>
      <c r="R28" s="204"/>
      <c r="S28" s="204"/>
      <c r="T28" s="204"/>
      <c r="U28" s="204"/>
      <c r="V28" s="204"/>
      <c r="Y28" s="158">
        <f>Y27/X27-1</f>
        <v>0.16666666666666674</v>
      </c>
      <c r="Z28" s="158">
        <f t="shared" ref="Z28:AB28" si="29">Z27/Y27-1</f>
        <v>0.14285714285714279</v>
      </c>
      <c r="AA28" s="158">
        <f t="shared" si="29"/>
        <v>0.125</v>
      </c>
      <c r="AB28" s="158">
        <f t="shared" si="29"/>
        <v>0.11111111111111116</v>
      </c>
      <c r="AC28" s="250">
        <v>0.06</v>
      </c>
      <c r="AD28" s="250">
        <f>AC28</f>
        <v>0.06</v>
      </c>
      <c r="AE28" s="250">
        <f t="shared" ref="AE28" si="30">AD28</f>
        <v>0.06</v>
      </c>
      <c r="AF28" s="250">
        <f t="shared" ref="AF28" si="31">AE28</f>
        <v>0.06</v>
      </c>
      <c r="AG28" s="250">
        <f t="shared" ref="AG28" si="32">AF28</f>
        <v>0.06</v>
      </c>
    </row>
    <row r="29" spans="2:35" ht="15" outlineLevel="1" x14ac:dyDescent="0.25">
      <c r="B29" s="201" t="s">
        <v>315</v>
      </c>
      <c r="C29" s="209"/>
      <c r="D29" s="209"/>
      <c r="E29" s="209"/>
      <c r="F29" s="209"/>
      <c r="G29" s="209"/>
      <c r="H29" s="209"/>
      <c r="I29" s="209"/>
      <c r="J29" s="209"/>
      <c r="K29" s="209"/>
      <c r="L29" s="209"/>
      <c r="M29" s="209"/>
      <c r="N29" s="209"/>
      <c r="O29" s="209"/>
      <c r="P29" s="209"/>
      <c r="Q29" s="209"/>
      <c r="R29" s="209"/>
      <c r="S29" s="209"/>
      <c r="T29" s="209"/>
      <c r="U29" s="209"/>
      <c r="V29" s="209"/>
      <c r="X29" s="209"/>
      <c r="Y29" s="209"/>
      <c r="Z29" s="209"/>
      <c r="AA29" s="209"/>
      <c r="AB29" s="209"/>
      <c r="AC29" s="209"/>
      <c r="AD29" s="209"/>
      <c r="AE29" s="209"/>
      <c r="AF29" s="209"/>
      <c r="AG29" s="209"/>
    </row>
    <row r="30" spans="2:35" outlineLevel="1" x14ac:dyDescent="0.2">
      <c r="B30" s="156" t="s">
        <v>316</v>
      </c>
      <c r="C30" s="199">
        <v>1</v>
      </c>
      <c r="D30" s="199">
        <v>3</v>
      </c>
      <c r="E30" s="199">
        <v>4</v>
      </c>
      <c r="F30" s="199">
        <v>2</v>
      </c>
      <c r="G30" s="199">
        <v>3</v>
      </c>
      <c r="H30" s="199">
        <v>0</v>
      </c>
      <c r="I30" s="199">
        <v>0</v>
      </c>
      <c r="J30" s="199">
        <v>0</v>
      </c>
      <c r="K30" s="199">
        <v>0</v>
      </c>
      <c r="L30" s="199">
        <v>0</v>
      </c>
      <c r="M30" s="199">
        <v>0</v>
      </c>
      <c r="N30" s="199">
        <v>0</v>
      </c>
      <c r="O30" s="199"/>
      <c r="P30" s="199"/>
      <c r="Q30" s="199"/>
      <c r="R30" s="199"/>
      <c r="S30" s="199"/>
      <c r="T30" s="199"/>
      <c r="U30" s="199"/>
      <c r="V30" s="199"/>
      <c r="X30" s="182">
        <f>SUM(C30:F30)</f>
        <v>10</v>
      </c>
      <c r="Y30" s="182">
        <f>SUM(G30:J30)</f>
        <v>3</v>
      </c>
      <c r="Z30" s="182">
        <f>SUM(K30:N30)</f>
        <v>0</v>
      </c>
      <c r="AA30" s="182">
        <f>SUM(O30:R30)</f>
        <v>0</v>
      </c>
      <c r="AB30" s="182">
        <f t="shared" ref="AB30:AB32" si="33">SUM(S30:V30)</f>
        <v>0</v>
      </c>
      <c r="AC30" s="182"/>
      <c r="AD30" s="182"/>
      <c r="AE30" s="182"/>
      <c r="AF30" s="182"/>
      <c r="AG30" s="182"/>
    </row>
    <row r="31" spans="2:35" outlineLevel="1" x14ac:dyDescent="0.2">
      <c r="B31" s="156" t="s">
        <v>317</v>
      </c>
      <c r="C31" s="199">
        <v>9</v>
      </c>
      <c r="D31" s="199">
        <v>9</v>
      </c>
      <c r="E31" s="199">
        <v>8</v>
      </c>
      <c r="F31" s="199">
        <v>18</v>
      </c>
      <c r="G31" s="199">
        <v>6</v>
      </c>
      <c r="H31" s="199">
        <v>12</v>
      </c>
      <c r="I31" s="199">
        <v>12</v>
      </c>
      <c r="J31" s="199">
        <v>20</v>
      </c>
      <c r="K31" s="199">
        <v>8</v>
      </c>
      <c r="L31" s="199">
        <v>15</v>
      </c>
      <c r="M31" s="199">
        <v>16</v>
      </c>
      <c r="N31" s="199">
        <v>24</v>
      </c>
      <c r="O31" s="199">
        <v>12</v>
      </c>
      <c r="P31" s="199">
        <v>20</v>
      </c>
      <c r="Q31" s="199">
        <v>13</v>
      </c>
      <c r="R31" s="199"/>
      <c r="S31" s="199"/>
      <c r="T31" s="199"/>
      <c r="U31" s="199"/>
      <c r="V31" s="199"/>
      <c r="X31" s="182">
        <f>SUM(C31:F31)</f>
        <v>44</v>
      </c>
      <c r="Y31" s="182">
        <f>SUM(G31:J31)</f>
        <v>50</v>
      </c>
      <c r="Z31" s="182">
        <f>SUM(K31:N31)</f>
        <v>63</v>
      </c>
      <c r="AA31" s="182">
        <f>SUM(O31:R31)</f>
        <v>45</v>
      </c>
      <c r="AB31" s="182">
        <f t="shared" si="33"/>
        <v>0</v>
      </c>
      <c r="AC31" s="182"/>
      <c r="AD31" s="182"/>
      <c r="AE31" s="182"/>
      <c r="AF31" s="182"/>
      <c r="AG31" s="182"/>
    </row>
    <row r="32" spans="2:35" outlineLevel="1" x14ac:dyDescent="0.2">
      <c r="B32" s="156" t="s">
        <v>318</v>
      </c>
      <c r="C32" s="199">
        <v>16</v>
      </c>
      <c r="D32" s="199">
        <v>17</v>
      </c>
      <c r="E32" s="199">
        <v>15</v>
      </c>
      <c r="F32" s="199">
        <v>18</v>
      </c>
      <c r="G32" s="199">
        <v>12</v>
      </c>
      <c r="H32" s="199">
        <v>16</v>
      </c>
      <c r="I32" s="199">
        <v>13</v>
      </c>
      <c r="J32" s="199">
        <v>29</v>
      </c>
      <c r="K32" s="199">
        <v>14</v>
      </c>
      <c r="L32" s="199">
        <v>14</v>
      </c>
      <c r="M32" s="199">
        <v>15</v>
      </c>
      <c r="N32" s="199">
        <v>52</v>
      </c>
      <c r="O32" s="199">
        <v>8</v>
      </c>
      <c r="P32" s="199">
        <v>19</v>
      </c>
      <c r="Q32" s="199">
        <v>17</v>
      </c>
      <c r="R32" s="199"/>
      <c r="S32" s="199"/>
      <c r="T32" s="199"/>
      <c r="U32" s="199"/>
      <c r="V32" s="199"/>
      <c r="X32" s="182">
        <f>SUM(C32:F32)</f>
        <v>66</v>
      </c>
      <c r="Y32" s="182">
        <f>SUM(G32:J32)</f>
        <v>70</v>
      </c>
      <c r="Z32" s="182">
        <f>SUM(K32:N32)</f>
        <v>95</v>
      </c>
      <c r="AA32" s="182">
        <f>SUM(O32:R32)</f>
        <v>44</v>
      </c>
      <c r="AB32" s="182">
        <f t="shared" si="33"/>
        <v>0</v>
      </c>
      <c r="AC32" s="182"/>
      <c r="AD32" s="182"/>
      <c r="AE32" s="182"/>
      <c r="AF32" s="182"/>
      <c r="AG32" s="182"/>
    </row>
    <row r="33" spans="2:35" ht="15" outlineLevel="1" x14ac:dyDescent="0.25">
      <c r="B33" s="164" t="s">
        <v>319</v>
      </c>
      <c r="C33" s="202">
        <f t="shared" ref="C33:Q33" si="34">SUM(C30:C32)</f>
        <v>26</v>
      </c>
      <c r="D33" s="202">
        <f t="shared" si="34"/>
        <v>29</v>
      </c>
      <c r="E33" s="202">
        <f t="shared" si="34"/>
        <v>27</v>
      </c>
      <c r="F33" s="202">
        <f t="shared" si="34"/>
        <v>38</v>
      </c>
      <c r="G33" s="202">
        <f t="shared" si="34"/>
        <v>21</v>
      </c>
      <c r="H33" s="202">
        <f t="shared" si="34"/>
        <v>28</v>
      </c>
      <c r="I33" s="202">
        <f t="shared" si="34"/>
        <v>25</v>
      </c>
      <c r="J33" s="202">
        <f t="shared" si="34"/>
        <v>49</v>
      </c>
      <c r="K33" s="202">
        <f t="shared" si="34"/>
        <v>22</v>
      </c>
      <c r="L33" s="202">
        <f t="shared" si="34"/>
        <v>29</v>
      </c>
      <c r="M33" s="202">
        <f t="shared" si="34"/>
        <v>31</v>
      </c>
      <c r="N33" s="202">
        <f t="shared" si="34"/>
        <v>76</v>
      </c>
      <c r="O33" s="202">
        <f t="shared" si="34"/>
        <v>20</v>
      </c>
      <c r="P33" s="202">
        <f t="shared" si="34"/>
        <v>39</v>
      </c>
      <c r="Q33" s="202">
        <f t="shared" si="34"/>
        <v>30</v>
      </c>
      <c r="R33" s="239">
        <f>150-SUM(O33:Q33)</f>
        <v>61</v>
      </c>
      <c r="S33" s="239">
        <f>O33</f>
        <v>20</v>
      </c>
      <c r="T33" s="239">
        <f t="shared" ref="T33:V33" si="35">P33</f>
        <v>39</v>
      </c>
      <c r="U33" s="239">
        <f t="shared" si="35"/>
        <v>30</v>
      </c>
      <c r="V33" s="239">
        <f t="shared" si="35"/>
        <v>61</v>
      </c>
      <c r="X33" s="170">
        <f>SUM(X30:X32)</f>
        <v>120</v>
      </c>
      <c r="Y33" s="170">
        <f>SUM(Y30:Y32)</f>
        <v>123</v>
      </c>
      <c r="Z33" s="170">
        <f>SUM(Z30:Z32)</f>
        <v>158</v>
      </c>
      <c r="AA33" s="170">
        <f>SUM(O33:R33)</f>
        <v>150</v>
      </c>
      <c r="AB33" s="170">
        <f>SUM(R33:U33)</f>
        <v>150</v>
      </c>
      <c r="AC33" s="206">
        <f>AB33*(1+AC34)</f>
        <v>159</v>
      </c>
      <c r="AD33" s="206">
        <f t="shared" ref="AD33" si="36">AC33*(1+AD34)</f>
        <v>168.54000000000002</v>
      </c>
      <c r="AE33" s="206">
        <f t="shared" ref="AE33" si="37">AD33*(1+AE34)</f>
        <v>178.65240000000003</v>
      </c>
      <c r="AF33" s="206">
        <f t="shared" ref="AF33" si="38">AE33*(1+AF34)</f>
        <v>189.37154400000003</v>
      </c>
      <c r="AG33" s="206">
        <f t="shared" ref="AG33" si="39">AF33*(1+AG34)</f>
        <v>200.73383664000005</v>
      </c>
      <c r="AI33" s="197">
        <f>RATE(7,,-Z33,AG33)</f>
        <v>3.4789297618754662E-2</v>
      </c>
    </row>
    <row r="34" spans="2:35" ht="15" outlineLevel="1" x14ac:dyDescent="0.25">
      <c r="B34" s="203"/>
      <c r="C34" s="204"/>
      <c r="D34" s="204"/>
      <c r="E34" s="204"/>
      <c r="F34" s="204"/>
      <c r="G34" s="204"/>
      <c r="H34" s="204"/>
      <c r="I34" s="204"/>
      <c r="J34" s="204"/>
      <c r="K34" s="204"/>
      <c r="L34" s="204"/>
      <c r="M34" s="204"/>
      <c r="N34" s="204"/>
      <c r="O34" s="204"/>
      <c r="P34" s="204"/>
      <c r="Q34" s="204"/>
      <c r="R34" s="204"/>
      <c r="S34" s="204"/>
      <c r="T34" s="204"/>
      <c r="U34" s="204"/>
      <c r="V34" s="204"/>
      <c r="X34" s="171"/>
      <c r="Y34" s="171"/>
      <c r="Z34" s="171"/>
      <c r="AA34" s="171"/>
      <c r="AB34" s="171"/>
      <c r="AC34" s="250">
        <v>0.06</v>
      </c>
      <c r="AD34" s="250">
        <f>AC34</f>
        <v>0.06</v>
      </c>
      <c r="AE34" s="250">
        <f t="shared" ref="AE34" si="40">AD34</f>
        <v>0.06</v>
      </c>
      <c r="AF34" s="250">
        <f t="shared" ref="AF34" si="41">AE34</f>
        <v>0.06</v>
      </c>
      <c r="AG34" s="250">
        <f t="shared" ref="AG34" si="42">AF34</f>
        <v>0.06</v>
      </c>
    </row>
    <row r="35" spans="2:35" outlineLevel="1" x14ac:dyDescent="0.2"/>
    <row r="36" spans="2:35" ht="15" outlineLevel="1" x14ac:dyDescent="0.25">
      <c r="B36" s="164" t="s">
        <v>276</v>
      </c>
      <c r="C36" s="211">
        <f t="shared" ref="C36:V36" si="43">SUM(C16,C24,C27,C33)</f>
        <v>240</v>
      </c>
      <c r="D36" s="211">
        <f t="shared" si="43"/>
        <v>292</v>
      </c>
      <c r="E36" s="211">
        <f t="shared" si="43"/>
        <v>251</v>
      </c>
      <c r="F36" s="211">
        <f t="shared" si="43"/>
        <v>336</v>
      </c>
      <c r="G36" s="211">
        <f t="shared" si="43"/>
        <v>272</v>
      </c>
      <c r="H36" s="211">
        <f t="shared" si="43"/>
        <v>318</v>
      </c>
      <c r="I36" s="211">
        <f t="shared" si="43"/>
        <v>291</v>
      </c>
      <c r="J36" s="211">
        <f t="shared" si="43"/>
        <v>439</v>
      </c>
      <c r="K36" s="211">
        <f t="shared" si="43"/>
        <v>295</v>
      </c>
      <c r="L36" s="211">
        <f t="shared" si="43"/>
        <v>370</v>
      </c>
      <c r="M36" s="211">
        <f t="shared" si="43"/>
        <v>324</v>
      </c>
      <c r="N36" s="211">
        <f t="shared" si="43"/>
        <v>496</v>
      </c>
      <c r="O36" s="211">
        <f t="shared" si="43"/>
        <v>263</v>
      </c>
      <c r="P36" s="211">
        <f t="shared" si="43"/>
        <v>330</v>
      </c>
      <c r="Q36" s="211">
        <f t="shared" si="43"/>
        <v>338</v>
      </c>
      <c r="R36" s="211">
        <f t="shared" si="43"/>
        <v>447</v>
      </c>
      <c r="S36" s="211">
        <f t="shared" si="43"/>
        <v>324</v>
      </c>
      <c r="T36" s="211">
        <f t="shared" si="43"/>
        <v>351</v>
      </c>
      <c r="U36" s="211">
        <f t="shared" si="43"/>
        <v>344</v>
      </c>
      <c r="V36" s="211">
        <f t="shared" si="43"/>
        <v>395</v>
      </c>
      <c r="X36" s="211">
        <f t="shared" ref="X36:AG36" si="44">SUM(X16,X24,X27,X33)</f>
        <v>1119</v>
      </c>
      <c r="Y36" s="211">
        <f t="shared" si="44"/>
        <v>1320</v>
      </c>
      <c r="Z36" s="211">
        <f t="shared" si="44"/>
        <v>1485</v>
      </c>
      <c r="AA36" s="211">
        <f t="shared" si="44"/>
        <v>1378</v>
      </c>
      <c r="AB36" s="211">
        <f t="shared" si="44"/>
        <v>1536.3600000000001</v>
      </c>
      <c r="AC36" s="211">
        <f t="shared" si="44"/>
        <v>1628.5416</v>
      </c>
      <c r="AD36" s="211">
        <f t="shared" si="44"/>
        <v>1726.2540960000001</v>
      </c>
      <c r="AE36" s="211">
        <f t="shared" si="44"/>
        <v>1829.82934176</v>
      </c>
      <c r="AF36" s="211">
        <f t="shared" si="44"/>
        <v>1939.6191022656005</v>
      </c>
      <c r="AG36" s="211">
        <f t="shared" si="44"/>
        <v>2055.9962484015368</v>
      </c>
      <c r="AI36" s="197">
        <f>RATE(7,,-Z36,AG36)</f>
        <v>4.7574994848341677E-2</v>
      </c>
    </row>
    <row r="37" spans="2:35" outlineLevel="1" x14ac:dyDescent="0.2"/>
    <row r="38" spans="2:35" ht="15" outlineLevel="1" x14ac:dyDescent="0.25">
      <c r="B38" s="201" t="s">
        <v>235</v>
      </c>
      <c r="C38" s="212"/>
      <c r="D38" s="212"/>
      <c r="E38" s="212"/>
      <c r="F38" s="212"/>
      <c r="G38" s="212"/>
      <c r="H38" s="212"/>
      <c r="I38" s="212"/>
      <c r="J38" s="212"/>
      <c r="K38" s="212"/>
      <c r="L38" s="212"/>
      <c r="M38" s="212"/>
      <c r="N38" s="212"/>
      <c r="O38" s="212"/>
      <c r="P38" s="212"/>
      <c r="Q38" s="212"/>
      <c r="R38" s="209"/>
      <c r="S38" s="209"/>
      <c r="T38" s="209"/>
      <c r="U38" s="209"/>
      <c r="V38" s="209"/>
      <c r="X38" s="209"/>
      <c r="Y38" s="209"/>
      <c r="Z38" s="209"/>
      <c r="AA38" s="209"/>
      <c r="AB38" s="209"/>
      <c r="AC38" s="209"/>
      <c r="AD38" s="209"/>
      <c r="AE38" s="209"/>
      <c r="AF38" s="209"/>
      <c r="AG38" s="209"/>
    </row>
    <row r="39" spans="2:35" ht="15" outlineLevel="1" x14ac:dyDescent="0.25">
      <c r="B39" s="188" t="s">
        <v>225</v>
      </c>
      <c r="C39" s="188"/>
      <c r="D39" s="188"/>
      <c r="E39" s="188"/>
      <c r="F39" s="188"/>
      <c r="G39" s="188"/>
      <c r="H39" s="188"/>
      <c r="I39" s="188"/>
      <c r="J39" s="188"/>
      <c r="K39" s="188"/>
      <c r="L39" s="188"/>
      <c r="M39" s="188"/>
      <c r="N39" s="188"/>
      <c r="O39" s="188"/>
      <c r="P39" s="188"/>
      <c r="Q39" s="188"/>
      <c r="R39" s="188"/>
      <c r="S39" s="188"/>
      <c r="T39" s="188"/>
      <c r="U39" s="188"/>
      <c r="V39" s="188"/>
    </row>
    <row r="40" spans="2:35" outlineLevel="1" x14ac:dyDescent="0.2">
      <c r="B40" s="159" t="s">
        <v>280</v>
      </c>
      <c r="C40" s="214">
        <v>9</v>
      </c>
      <c r="D40" s="214">
        <v>6</v>
      </c>
      <c r="E40" s="214">
        <v>4</v>
      </c>
      <c r="F40" s="214">
        <v>8</v>
      </c>
      <c r="G40" s="214">
        <v>7</v>
      </c>
      <c r="H40" s="214">
        <v>6</v>
      </c>
      <c r="I40" s="214">
        <v>7</v>
      </c>
      <c r="J40" s="214">
        <v>5</v>
      </c>
      <c r="K40" s="214">
        <v>7</v>
      </c>
      <c r="L40" s="214">
        <v>5</v>
      </c>
      <c r="M40" s="214">
        <v>5</v>
      </c>
      <c r="N40" s="214">
        <v>3</v>
      </c>
      <c r="O40" s="214">
        <v>0</v>
      </c>
      <c r="P40" s="214">
        <v>3</v>
      </c>
      <c r="Q40" s="214">
        <v>7</v>
      </c>
      <c r="R40" s="218">
        <f>Q40*(1+R$17)</f>
        <v>5.32</v>
      </c>
      <c r="S40" s="218">
        <f t="shared" ref="S40:V40" si="45">R40*(1+S$17)</f>
        <v>6.2775999999999996</v>
      </c>
      <c r="T40" s="218">
        <f t="shared" si="45"/>
        <v>7.7214479999999996</v>
      </c>
      <c r="U40" s="218">
        <f t="shared" si="45"/>
        <v>9.4973810399999987</v>
      </c>
      <c r="V40" s="218">
        <f t="shared" si="45"/>
        <v>13.296333455999997</v>
      </c>
      <c r="X40" s="182">
        <f>SUM(C40:F40)</f>
        <v>27</v>
      </c>
      <c r="Y40" s="182">
        <f>SUM(G40:J40)</f>
        <v>25</v>
      </c>
      <c r="Z40" s="182">
        <f>SUM(K40:N40)</f>
        <v>20</v>
      </c>
      <c r="AA40" s="182">
        <f>SUM(O40:R40)</f>
        <v>15.32</v>
      </c>
      <c r="AB40" s="182">
        <f t="shared" ref="AB40:AB49" si="46">SUM(S40:V40)</f>
        <v>36.792762495999995</v>
      </c>
      <c r="AC40" s="189">
        <f>ROUND(AB40*(1+AC$17),0)</f>
        <v>39</v>
      </c>
      <c r="AD40" s="189">
        <f t="shared" ref="AD40:AG40" si="47">ROUND(AC40*(1+AD$17),0)</f>
        <v>41</v>
      </c>
      <c r="AE40" s="189">
        <f t="shared" si="47"/>
        <v>43</v>
      </c>
      <c r="AF40" s="189">
        <f t="shared" si="47"/>
        <v>46</v>
      </c>
      <c r="AG40" s="189">
        <f t="shared" si="47"/>
        <v>49</v>
      </c>
    </row>
    <row r="41" spans="2:35" outlineLevel="1" x14ac:dyDescent="0.2">
      <c r="B41" s="159" t="s">
        <v>281</v>
      </c>
      <c r="C41" s="214">
        <v>15</v>
      </c>
      <c r="D41" s="214">
        <v>16</v>
      </c>
      <c r="E41" s="214">
        <v>11</v>
      </c>
      <c r="F41" s="214">
        <v>14</v>
      </c>
      <c r="G41" s="214">
        <v>15</v>
      </c>
      <c r="H41" s="214">
        <v>13</v>
      </c>
      <c r="I41" s="214">
        <v>8</v>
      </c>
      <c r="J41" s="214">
        <v>14</v>
      </c>
      <c r="K41" s="214">
        <v>13</v>
      </c>
      <c r="L41" s="214">
        <v>16</v>
      </c>
      <c r="M41" s="214">
        <v>9</v>
      </c>
      <c r="N41" s="214">
        <v>19</v>
      </c>
      <c r="O41" s="214">
        <v>6</v>
      </c>
      <c r="P41" s="214">
        <v>7</v>
      </c>
      <c r="Q41" s="214">
        <v>11</v>
      </c>
      <c r="R41" s="218">
        <f t="shared" ref="R41:V48" si="48">Q41*(1+R$17)</f>
        <v>8.36</v>
      </c>
      <c r="S41" s="218">
        <f t="shared" si="48"/>
        <v>9.8647999999999989</v>
      </c>
      <c r="T41" s="218">
        <f t="shared" si="48"/>
        <v>12.133703999999998</v>
      </c>
      <c r="U41" s="218">
        <f t="shared" si="48"/>
        <v>14.924455919999998</v>
      </c>
      <c r="V41" s="218">
        <f t="shared" si="48"/>
        <v>20.894238287999997</v>
      </c>
      <c r="X41" s="182">
        <f t="shared" ref="X41:X49" si="49">SUM(C41:F41)</f>
        <v>56</v>
      </c>
      <c r="Y41" s="182">
        <f t="shared" ref="Y41:Y49" si="50">SUM(G41:J41)</f>
        <v>50</v>
      </c>
      <c r="Z41" s="182">
        <f t="shared" ref="Z41:Z49" si="51">SUM(K41:N41)</f>
        <v>57</v>
      </c>
      <c r="AA41" s="182">
        <f t="shared" ref="AA41:AA49" si="52">SUM(O41:R41)</f>
        <v>32.36</v>
      </c>
      <c r="AB41" s="182">
        <f t="shared" si="46"/>
        <v>57.817198207999994</v>
      </c>
      <c r="AC41" s="189">
        <f t="shared" ref="AC41:AG41" si="53">ROUND(AB41*(1+AC$17),0)</f>
        <v>61</v>
      </c>
      <c r="AD41" s="189">
        <f t="shared" si="53"/>
        <v>65</v>
      </c>
      <c r="AE41" s="189">
        <f t="shared" si="53"/>
        <v>69</v>
      </c>
      <c r="AF41" s="189">
        <f t="shared" si="53"/>
        <v>73</v>
      </c>
      <c r="AG41" s="189">
        <f t="shared" si="53"/>
        <v>77</v>
      </c>
    </row>
    <row r="42" spans="2:35" outlineLevel="1" x14ac:dyDescent="0.2">
      <c r="B42" s="159" t="s">
        <v>282</v>
      </c>
      <c r="C42" s="214">
        <v>3</v>
      </c>
      <c r="D42" s="214">
        <v>3</v>
      </c>
      <c r="E42" s="214">
        <v>6</v>
      </c>
      <c r="F42" s="214">
        <v>3</v>
      </c>
      <c r="G42" s="214">
        <v>4</v>
      </c>
      <c r="H42" s="214">
        <v>5</v>
      </c>
      <c r="I42" s="214">
        <v>1</v>
      </c>
      <c r="J42" s="214">
        <v>9</v>
      </c>
      <c r="K42" s="214">
        <v>5</v>
      </c>
      <c r="L42" s="214">
        <v>2</v>
      </c>
      <c r="M42" s="214">
        <v>1</v>
      </c>
      <c r="N42" s="214">
        <v>3</v>
      </c>
      <c r="O42" s="214">
        <v>1</v>
      </c>
      <c r="P42" s="214">
        <v>1</v>
      </c>
      <c r="Q42" s="214">
        <v>0</v>
      </c>
      <c r="R42" s="218">
        <f t="shared" si="48"/>
        <v>0</v>
      </c>
      <c r="S42" s="218">
        <f t="shared" si="48"/>
        <v>0</v>
      </c>
      <c r="T42" s="218">
        <f t="shared" si="48"/>
        <v>0</v>
      </c>
      <c r="U42" s="218">
        <f t="shared" si="48"/>
        <v>0</v>
      </c>
      <c r="V42" s="218">
        <f t="shared" si="48"/>
        <v>0</v>
      </c>
      <c r="X42" s="182"/>
      <c r="Y42" s="182"/>
      <c r="Z42" s="182"/>
      <c r="AA42" s="182"/>
      <c r="AB42" s="182">
        <f t="shared" si="46"/>
        <v>0</v>
      </c>
      <c r="AC42" s="189">
        <f t="shared" ref="AC42:AG42" si="54">ROUND(AB42*(1+AC$17),0)</f>
        <v>0</v>
      </c>
      <c r="AD42" s="189">
        <f t="shared" si="54"/>
        <v>0</v>
      </c>
      <c r="AE42" s="189">
        <f t="shared" si="54"/>
        <v>0</v>
      </c>
      <c r="AF42" s="189">
        <f t="shared" si="54"/>
        <v>0</v>
      </c>
      <c r="AG42" s="189">
        <f t="shared" si="54"/>
        <v>0</v>
      </c>
    </row>
    <row r="43" spans="2:35" outlineLevel="1" x14ac:dyDescent="0.2">
      <c r="B43" s="159" t="s">
        <v>283</v>
      </c>
      <c r="C43" s="214">
        <v>3</v>
      </c>
      <c r="D43" s="214">
        <v>1</v>
      </c>
      <c r="E43" s="214">
        <v>1</v>
      </c>
      <c r="F43" s="214">
        <v>0</v>
      </c>
      <c r="G43" s="214">
        <v>3</v>
      </c>
      <c r="H43" s="214">
        <v>1</v>
      </c>
      <c r="I43" s="214">
        <v>2</v>
      </c>
      <c r="J43" s="214">
        <v>3</v>
      </c>
      <c r="K43" s="214">
        <v>1</v>
      </c>
      <c r="L43" s="214">
        <v>3</v>
      </c>
      <c r="M43" s="214">
        <v>3</v>
      </c>
      <c r="N43" s="214">
        <v>2</v>
      </c>
      <c r="O43" s="214">
        <v>1</v>
      </c>
      <c r="P43" s="214">
        <v>4</v>
      </c>
      <c r="Q43" s="214">
        <v>2</v>
      </c>
      <c r="R43" s="218">
        <f t="shared" si="48"/>
        <v>1.52</v>
      </c>
      <c r="S43" s="218">
        <f t="shared" si="48"/>
        <v>1.7935999999999999</v>
      </c>
      <c r="T43" s="218">
        <f t="shared" si="48"/>
        <v>2.2061279999999996</v>
      </c>
      <c r="U43" s="218">
        <f t="shared" si="48"/>
        <v>2.7135374399999996</v>
      </c>
      <c r="V43" s="218">
        <f t="shared" si="48"/>
        <v>3.7989524159999992</v>
      </c>
      <c r="X43" s="182"/>
      <c r="Y43" s="182"/>
      <c r="Z43" s="182"/>
      <c r="AA43" s="182"/>
      <c r="AB43" s="182">
        <f t="shared" si="46"/>
        <v>10.512217855999998</v>
      </c>
      <c r="AC43" s="189">
        <f t="shared" ref="AC43:AG43" si="55">ROUND(AB43*(1+AC$17),0)</f>
        <v>11</v>
      </c>
      <c r="AD43" s="189">
        <f t="shared" si="55"/>
        <v>12</v>
      </c>
      <c r="AE43" s="189">
        <f t="shared" si="55"/>
        <v>13</v>
      </c>
      <c r="AF43" s="189">
        <f t="shared" si="55"/>
        <v>14</v>
      </c>
      <c r="AG43" s="189">
        <f t="shared" si="55"/>
        <v>15</v>
      </c>
    </row>
    <row r="44" spans="2:35" outlineLevel="1" x14ac:dyDescent="0.2">
      <c r="B44" s="159" t="s">
        <v>284</v>
      </c>
      <c r="C44" s="214">
        <v>3</v>
      </c>
      <c r="D44" s="214">
        <v>5</v>
      </c>
      <c r="E44" s="214">
        <v>3</v>
      </c>
      <c r="F44" s="214">
        <v>5</v>
      </c>
      <c r="G44" s="214">
        <v>1</v>
      </c>
      <c r="H44" s="214">
        <v>4</v>
      </c>
      <c r="I44" s="214">
        <v>4</v>
      </c>
      <c r="J44" s="214">
        <v>3</v>
      </c>
      <c r="K44" s="214">
        <v>2</v>
      </c>
      <c r="L44" s="214">
        <v>4</v>
      </c>
      <c r="M44" s="214">
        <v>0</v>
      </c>
      <c r="N44" s="214">
        <v>3</v>
      </c>
      <c r="O44" s="214">
        <v>1</v>
      </c>
      <c r="P44" s="214">
        <v>6</v>
      </c>
      <c r="Q44" s="214">
        <v>3</v>
      </c>
      <c r="R44" s="218">
        <f t="shared" si="48"/>
        <v>2.2800000000000002</v>
      </c>
      <c r="S44" s="218">
        <f t="shared" si="48"/>
        <v>2.6904000000000003</v>
      </c>
      <c r="T44" s="218">
        <f t="shared" si="48"/>
        <v>3.3091920000000004</v>
      </c>
      <c r="U44" s="218">
        <f t="shared" si="48"/>
        <v>4.0703061600000003</v>
      </c>
      <c r="V44" s="218">
        <f t="shared" si="48"/>
        <v>5.6984286239999999</v>
      </c>
      <c r="X44" s="182"/>
      <c r="Y44" s="182"/>
      <c r="Z44" s="182"/>
      <c r="AA44" s="182"/>
      <c r="AB44" s="182">
        <f t="shared" si="46"/>
        <v>15.768326784000001</v>
      </c>
      <c r="AC44" s="189">
        <f t="shared" ref="AC44:AG44" si="56">ROUND(AB44*(1+AC$17),0)</f>
        <v>17</v>
      </c>
      <c r="AD44" s="189">
        <f t="shared" si="56"/>
        <v>18</v>
      </c>
      <c r="AE44" s="189">
        <f t="shared" si="56"/>
        <v>19</v>
      </c>
      <c r="AF44" s="189">
        <f t="shared" si="56"/>
        <v>20</v>
      </c>
      <c r="AG44" s="189">
        <f t="shared" si="56"/>
        <v>21</v>
      </c>
    </row>
    <row r="45" spans="2:35" outlineLevel="1" x14ac:dyDescent="0.2">
      <c r="B45" s="159" t="s">
        <v>285</v>
      </c>
      <c r="C45" s="214">
        <v>4</v>
      </c>
      <c r="D45" s="214">
        <v>7</v>
      </c>
      <c r="E45" s="214">
        <v>4</v>
      </c>
      <c r="F45" s="214">
        <v>6</v>
      </c>
      <c r="G45" s="214">
        <v>4</v>
      </c>
      <c r="H45" s="214">
        <v>4</v>
      </c>
      <c r="I45" s="214">
        <v>3</v>
      </c>
      <c r="J45" s="214">
        <v>3</v>
      </c>
      <c r="K45" s="214">
        <v>7</v>
      </c>
      <c r="L45" s="214">
        <v>6</v>
      </c>
      <c r="M45" s="214">
        <v>3</v>
      </c>
      <c r="N45" s="214">
        <v>6</v>
      </c>
      <c r="O45" s="214">
        <v>1</v>
      </c>
      <c r="P45" s="214">
        <v>3</v>
      </c>
      <c r="Q45" s="214">
        <v>1</v>
      </c>
      <c r="R45" s="218">
        <f t="shared" si="48"/>
        <v>0.76</v>
      </c>
      <c r="S45" s="218">
        <f t="shared" si="48"/>
        <v>0.89679999999999993</v>
      </c>
      <c r="T45" s="218">
        <f t="shared" si="48"/>
        <v>1.1030639999999998</v>
      </c>
      <c r="U45" s="218">
        <f t="shared" si="48"/>
        <v>1.3567687199999998</v>
      </c>
      <c r="V45" s="218">
        <f t="shared" si="48"/>
        <v>1.8994762079999996</v>
      </c>
      <c r="X45" s="182">
        <f t="shared" si="49"/>
        <v>21</v>
      </c>
      <c r="Y45" s="182">
        <f t="shared" si="50"/>
        <v>14</v>
      </c>
      <c r="Z45" s="182">
        <f t="shared" si="51"/>
        <v>22</v>
      </c>
      <c r="AA45" s="182">
        <f t="shared" si="52"/>
        <v>5.76</v>
      </c>
      <c r="AB45" s="182">
        <f t="shared" si="46"/>
        <v>5.2561089279999988</v>
      </c>
      <c r="AC45" s="189">
        <f t="shared" ref="AC45:AG45" si="57">ROUND(AB45*(1+AC$17),0)</f>
        <v>6</v>
      </c>
      <c r="AD45" s="189">
        <f t="shared" si="57"/>
        <v>6</v>
      </c>
      <c r="AE45" s="189">
        <f t="shared" si="57"/>
        <v>6</v>
      </c>
      <c r="AF45" s="189">
        <f t="shared" si="57"/>
        <v>6</v>
      </c>
      <c r="AG45" s="189">
        <f t="shared" si="57"/>
        <v>6</v>
      </c>
    </row>
    <row r="46" spans="2:35" outlineLevel="1" x14ac:dyDescent="0.2">
      <c r="B46" s="159" t="s">
        <v>238</v>
      </c>
      <c r="C46" s="214">
        <v>2</v>
      </c>
      <c r="D46" s="214">
        <v>2</v>
      </c>
      <c r="E46" s="214">
        <v>3</v>
      </c>
      <c r="F46" s="214">
        <v>6</v>
      </c>
      <c r="G46" s="214">
        <v>4</v>
      </c>
      <c r="H46" s="214">
        <v>4</v>
      </c>
      <c r="I46" s="214">
        <v>1</v>
      </c>
      <c r="J46" s="214">
        <v>6</v>
      </c>
      <c r="K46" s="214">
        <v>1</v>
      </c>
      <c r="L46" s="214">
        <v>0</v>
      </c>
      <c r="M46" s="214">
        <v>3</v>
      </c>
      <c r="N46" s="214">
        <v>9</v>
      </c>
      <c r="O46" s="214">
        <v>3</v>
      </c>
      <c r="P46" s="214">
        <v>2</v>
      </c>
      <c r="Q46" s="214">
        <v>5</v>
      </c>
      <c r="R46" s="218">
        <f t="shared" si="48"/>
        <v>3.8</v>
      </c>
      <c r="S46" s="218">
        <f t="shared" si="48"/>
        <v>4.484</v>
      </c>
      <c r="T46" s="218">
        <f t="shared" si="48"/>
        <v>5.51532</v>
      </c>
      <c r="U46" s="218">
        <f t="shared" si="48"/>
        <v>6.7838436</v>
      </c>
      <c r="V46" s="218">
        <f t="shared" si="48"/>
        <v>9.4973810399999987</v>
      </c>
      <c r="X46" s="182">
        <f t="shared" si="49"/>
        <v>13</v>
      </c>
      <c r="Y46" s="182">
        <f t="shared" si="50"/>
        <v>15</v>
      </c>
      <c r="Z46" s="182">
        <f t="shared" si="51"/>
        <v>13</v>
      </c>
      <c r="AA46" s="182">
        <f t="shared" si="52"/>
        <v>13.8</v>
      </c>
      <c r="AB46" s="182">
        <f t="shared" si="46"/>
        <v>26.280544640000002</v>
      </c>
      <c r="AC46" s="189">
        <f t="shared" ref="AC46:AG46" si="58">ROUND(AB46*(1+AC$17),0)</f>
        <v>28</v>
      </c>
      <c r="AD46" s="189">
        <f t="shared" si="58"/>
        <v>30</v>
      </c>
      <c r="AE46" s="189">
        <f t="shared" si="58"/>
        <v>32</v>
      </c>
      <c r="AF46" s="189">
        <f t="shared" si="58"/>
        <v>34</v>
      </c>
      <c r="AG46" s="189">
        <f t="shared" si="58"/>
        <v>36</v>
      </c>
    </row>
    <row r="47" spans="2:35" outlineLevel="1" x14ac:dyDescent="0.2">
      <c r="B47" s="159" t="s">
        <v>286</v>
      </c>
      <c r="C47" s="214">
        <v>3</v>
      </c>
      <c r="D47" s="214">
        <v>3</v>
      </c>
      <c r="E47" s="214">
        <v>5</v>
      </c>
      <c r="F47" s="214">
        <v>5</v>
      </c>
      <c r="G47" s="214">
        <v>3</v>
      </c>
      <c r="H47" s="214">
        <v>3</v>
      </c>
      <c r="I47" s="214">
        <v>4</v>
      </c>
      <c r="J47" s="214">
        <v>2</v>
      </c>
      <c r="K47" s="214">
        <v>3</v>
      </c>
      <c r="L47" s="214">
        <v>2</v>
      </c>
      <c r="M47" s="214">
        <v>1</v>
      </c>
      <c r="N47" s="214">
        <v>4</v>
      </c>
      <c r="O47" s="214">
        <v>1</v>
      </c>
      <c r="P47" s="214">
        <v>2</v>
      </c>
      <c r="Q47" s="214">
        <v>3</v>
      </c>
      <c r="R47" s="218">
        <f t="shared" si="48"/>
        <v>2.2800000000000002</v>
      </c>
      <c r="S47" s="218">
        <f t="shared" si="48"/>
        <v>2.6904000000000003</v>
      </c>
      <c r="T47" s="218">
        <f t="shared" si="48"/>
        <v>3.3091920000000004</v>
      </c>
      <c r="U47" s="218">
        <f t="shared" si="48"/>
        <v>4.0703061600000003</v>
      </c>
      <c r="V47" s="218">
        <f t="shared" si="48"/>
        <v>5.6984286239999999</v>
      </c>
      <c r="X47" s="182">
        <f t="shared" si="49"/>
        <v>16</v>
      </c>
      <c r="Y47" s="182">
        <f t="shared" si="50"/>
        <v>12</v>
      </c>
      <c r="Z47" s="182">
        <f t="shared" si="51"/>
        <v>10</v>
      </c>
      <c r="AA47" s="182">
        <f t="shared" si="52"/>
        <v>8.2800000000000011</v>
      </c>
      <c r="AB47" s="182">
        <f t="shared" si="46"/>
        <v>15.768326784000001</v>
      </c>
      <c r="AC47" s="189">
        <f t="shared" ref="AC47:AG47" si="59">ROUND(AB47*(1+AC$17),0)</f>
        <v>17</v>
      </c>
      <c r="AD47" s="189">
        <f t="shared" si="59"/>
        <v>18</v>
      </c>
      <c r="AE47" s="189">
        <f t="shared" si="59"/>
        <v>19</v>
      </c>
      <c r="AF47" s="189">
        <f t="shared" si="59"/>
        <v>20</v>
      </c>
      <c r="AG47" s="189">
        <f t="shared" si="59"/>
        <v>21</v>
      </c>
    </row>
    <row r="48" spans="2:35" outlineLevel="1" x14ac:dyDescent="0.2">
      <c r="B48" s="159" t="s">
        <v>287</v>
      </c>
      <c r="E48" s="214">
        <v>0</v>
      </c>
      <c r="F48" s="214">
        <v>0</v>
      </c>
      <c r="I48" s="214">
        <v>4</v>
      </c>
      <c r="J48" s="214">
        <v>0</v>
      </c>
      <c r="K48" s="214">
        <v>3</v>
      </c>
      <c r="L48" s="214">
        <v>0</v>
      </c>
      <c r="M48" s="214">
        <v>2</v>
      </c>
      <c r="N48" s="214">
        <v>1</v>
      </c>
      <c r="O48" s="214">
        <v>0</v>
      </c>
      <c r="P48" s="214">
        <v>0</v>
      </c>
      <c r="Q48" s="214">
        <v>1</v>
      </c>
      <c r="R48" s="218">
        <f t="shared" si="48"/>
        <v>0.76</v>
      </c>
      <c r="S48" s="218">
        <f t="shared" si="48"/>
        <v>0.89679999999999993</v>
      </c>
      <c r="T48" s="218">
        <f t="shared" si="48"/>
        <v>1.1030639999999998</v>
      </c>
      <c r="U48" s="218">
        <f t="shared" si="48"/>
        <v>1.3567687199999998</v>
      </c>
      <c r="V48" s="218">
        <f t="shared" si="48"/>
        <v>1.8994762079999996</v>
      </c>
      <c r="X48" s="182">
        <f t="shared" si="49"/>
        <v>0</v>
      </c>
      <c r="Y48" s="182">
        <f t="shared" si="50"/>
        <v>4</v>
      </c>
      <c r="Z48" s="182">
        <f t="shared" si="51"/>
        <v>6</v>
      </c>
      <c r="AA48" s="182">
        <f t="shared" si="52"/>
        <v>1.76</v>
      </c>
      <c r="AB48" s="182">
        <f t="shared" si="46"/>
        <v>5.2561089279999988</v>
      </c>
      <c r="AC48" s="189">
        <f t="shared" ref="AC48:AG48" si="60">ROUND(AB48*(1+AC$17),0)</f>
        <v>6</v>
      </c>
      <c r="AD48" s="189">
        <f t="shared" si="60"/>
        <v>6</v>
      </c>
      <c r="AE48" s="189">
        <f t="shared" si="60"/>
        <v>6</v>
      </c>
      <c r="AF48" s="189">
        <f t="shared" si="60"/>
        <v>6</v>
      </c>
      <c r="AG48" s="189">
        <f t="shared" si="60"/>
        <v>6</v>
      </c>
    </row>
    <row r="49" spans="2:36" outlineLevel="1" x14ac:dyDescent="0.2">
      <c r="B49" s="159" t="s">
        <v>288</v>
      </c>
      <c r="E49" s="214"/>
      <c r="F49" s="214"/>
      <c r="I49" s="214"/>
      <c r="J49" s="214"/>
      <c r="K49" s="214"/>
      <c r="L49" s="214"/>
      <c r="M49" s="214"/>
      <c r="N49" s="214">
        <v>2</v>
      </c>
      <c r="O49" s="214"/>
      <c r="P49" s="214"/>
      <c r="Q49" s="214"/>
      <c r="X49" s="182">
        <f t="shared" si="49"/>
        <v>0</v>
      </c>
      <c r="Y49" s="182">
        <f t="shared" si="50"/>
        <v>0</v>
      </c>
      <c r="Z49" s="182">
        <f t="shared" si="51"/>
        <v>2</v>
      </c>
      <c r="AA49" s="182">
        <f t="shared" si="52"/>
        <v>0</v>
      </c>
      <c r="AB49" s="182">
        <f t="shared" si="46"/>
        <v>0</v>
      </c>
      <c r="AC49" s="189">
        <f t="shared" ref="AC49:AG49" si="61">ROUND(AB49*(1+AC$17),0)</f>
        <v>0</v>
      </c>
      <c r="AD49" s="189">
        <f t="shared" si="61"/>
        <v>0</v>
      </c>
      <c r="AE49" s="189">
        <f t="shared" si="61"/>
        <v>0</v>
      </c>
      <c r="AF49" s="189">
        <f t="shared" si="61"/>
        <v>0</v>
      </c>
      <c r="AG49" s="189">
        <f t="shared" si="61"/>
        <v>0</v>
      </c>
    </row>
    <row r="50" spans="2:36" ht="15" outlineLevel="1" x14ac:dyDescent="0.25">
      <c r="B50" s="188" t="s">
        <v>293</v>
      </c>
      <c r="C50" s="188"/>
      <c r="D50" s="188"/>
      <c r="E50" s="188"/>
      <c r="F50" s="188"/>
      <c r="G50" s="188"/>
      <c r="H50" s="188"/>
      <c r="I50" s="188"/>
      <c r="J50" s="188"/>
      <c r="K50" s="188"/>
      <c r="L50" s="188"/>
      <c r="M50" s="188"/>
      <c r="N50" s="188"/>
      <c r="O50" s="188"/>
      <c r="P50" s="188"/>
      <c r="Q50" s="188"/>
      <c r="R50" s="188"/>
      <c r="S50" s="188"/>
      <c r="T50" s="188"/>
      <c r="U50" s="188"/>
      <c r="V50" s="188"/>
      <c r="X50" s="182"/>
      <c r="Y50" s="182"/>
      <c r="Z50" s="182"/>
      <c r="AA50" s="182"/>
    </row>
    <row r="51" spans="2:36" outlineLevel="1" x14ac:dyDescent="0.2">
      <c r="B51" s="156" t="s">
        <v>237</v>
      </c>
      <c r="C51" s="199">
        <v>17</v>
      </c>
      <c r="D51" s="199">
        <v>37</v>
      </c>
      <c r="E51" s="199">
        <v>36</v>
      </c>
      <c r="F51" s="199">
        <v>52</v>
      </c>
      <c r="G51" s="199">
        <v>26</v>
      </c>
      <c r="H51" s="199">
        <v>35</v>
      </c>
      <c r="I51" s="199">
        <v>27</v>
      </c>
      <c r="J51" s="199">
        <v>53</v>
      </c>
      <c r="K51" s="199">
        <v>5</v>
      </c>
      <c r="L51" s="199">
        <v>45</v>
      </c>
      <c r="M51" s="199">
        <v>30</v>
      </c>
      <c r="N51" s="199">
        <v>18</v>
      </c>
      <c r="O51" s="199">
        <v>0</v>
      </c>
      <c r="P51" s="199">
        <v>0</v>
      </c>
      <c r="Q51" s="199">
        <v>48</v>
      </c>
      <c r="R51" s="217">
        <f>(100)-SUM(O51:Q51)</f>
        <v>52</v>
      </c>
      <c r="S51" s="216">
        <f>ROUND(156/4,0)</f>
        <v>39</v>
      </c>
      <c r="T51" s="216">
        <f t="shared" ref="T51:V51" si="62">ROUND(156/4,0)</f>
        <v>39</v>
      </c>
      <c r="U51" s="216">
        <f t="shared" si="62"/>
        <v>39</v>
      </c>
      <c r="V51" s="216">
        <f t="shared" si="62"/>
        <v>39</v>
      </c>
      <c r="X51" s="182">
        <f>SUM(C51:F51)</f>
        <v>142</v>
      </c>
      <c r="Y51" s="182">
        <f>SUM(G51:J51)</f>
        <v>141</v>
      </c>
      <c r="Z51" s="182">
        <f>SUM(K51:N51)</f>
        <v>98</v>
      </c>
      <c r="AA51" s="182">
        <f>SUM(O51:R51)</f>
        <v>100</v>
      </c>
      <c r="AB51" s="182">
        <f t="shared" ref="AB51:AB54" si="63">SUM(S51:V51)</f>
        <v>156</v>
      </c>
      <c r="AC51" s="216">
        <f>AB51</f>
        <v>156</v>
      </c>
      <c r="AD51" s="216">
        <f t="shared" ref="AD51:AG52" si="64">AC51</f>
        <v>156</v>
      </c>
      <c r="AE51" s="216">
        <f t="shared" si="64"/>
        <v>156</v>
      </c>
      <c r="AF51" s="216">
        <f t="shared" si="64"/>
        <v>156</v>
      </c>
      <c r="AG51" s="216">
        <f t="shared" si="64"/>
        <v>156</v>
      </c>
    </row>
    <row r="52" spans="2:36" outlineLevel="1" x14ac:dyDescent="0.2">
      <c r="B52" s="156" t="s">
        <v>236</v>
      </c>
      <c r="C52" s="199">
        <v>0</v>
      </c>
      <c r="D52" s="199">
        <v>0</v>
      </c>
      <c r="E52" s="199">
        <v>0</v>
      </c>
      <c r="F52" s="199">
        <v>0</v>
      </c>
      <c r="G52" s="199">
        <v>0</v>
      </c>
      <c r="H52" s="199">
        <v>0</v>
      </c>
      <c r="I52" s="199">
        <v>0</v>
      </c>
      <c r="J52" s="199">
        <v>0</v>
      </c>
      <c r="K52" s="199">
        <v>1</v>
      </c>
      <c r="L52" s="199">
        <v>0</v>
      </c>
      <c r="M52" s="199">
        <v>1</v>
      </c>
      <c r="N52" s="199">
        <v>3</v>
      </c>
      <c r="O52" s="199">
        <v>6</v>
      </c>
      <c r="P52" s="199">
        <v>4</v>
      </c>
      <c r="Q52" s="199">
        <v>2</v>
      </c>
      <c r="R52" s="217">
        <f>20-SUM(O52:Q52)</f>
        <v>8</v>
      </c>
      <c r="S52" s="216">
        <f>ROUND(30/4,0)</f>
        <v>8</v>
      </c>
      <c r="T52" s="216">
        <f t="shared" ref="T52:V52" si="65">ROUND(30/4,0)</f>
        <v>8</v>
      </c>
      <c r="U52" s="216">
        <f t="shared" si="65"/>
        <v>8</v>
      </c>
      <c r="V52" s="216">
        <f t="shared" si="65"/>
        <v>8</v>
      </c>
      <c r="X52" s="182"/>
      <c r="Y52" s="182"/>
      <c r="Z52" s="182">
        <f>SUM(K52:N52)</f>
        <v>5</v>
      </c>
      <c r="AA52" s="182">
        <f>SUM(O52:R52)</f>
        <v>20</v>
      </c>
      <c r="AB52" s="182">
        <f t="shared" si="63"/>
        <v>32</v>
      </c>
      <c r="AC52" s="216">
        <v>48</v>
      </c>
      <c r="AD52" s="216">
        <f t="shared" si="64"/>
        <v>48</v>
      </c>
      <c r="AE52" s="216">
        <f t="shared" si="64"/>
        <v>48</v>
      </c>
      <c r="AF52" s="216">
        <f t="shared" si="64"/>
        <v>48</v>
      </c>
      <c r="AG52" s="216">
        <f t="shared" si="64"/>
        <v>48</v>
      </c>
    </row>
    <row r="53" spans="2:36" outlineLevel="1" x14ac:dyDescent="0.2">
      <c r="B53" s="156" t="s">
        <v>289</v>
      </c>
      <c r="C53" s="199">
        <v>2</v>
      </c>
      <c r="D53" s="199">
        <v>6</v>
      </c>
      <c r="E53" s="199">
        <v>7</v>
      </c>
      <c r="F53" s="199">
        <v>7</v>
      </c>
      <c r="G53" s="199">
        <v>5</v>
      </c>
      <c r="H53" s="199">
        <v>6</v>
      </c>
      <c r="I53" s="199">
        <v>7</v>
      </c>
      <c r="J53" s="199">
        <v>6</v>
      </c>
      <c r="K53" s="199">
        <v>2</v>
      </c>
      <c r="L53" s="199">
        <v>4</v>
      </c>
      <c r="M53" s="199">
        <v>7</v>
      </c>
      <c r="N53" s="199">
        <v>8</v>
      </c>
      <c r="O53" s="199">
        <v>4</v>
      </c>
      <c r="P53" s="199">
        <v>5</v>
      </c>
      <c r="Q53" s="199">
        <v>4</v>
      </c>
      <c r="R53" s="217">
        <f t="shared" ref="R53:R55" si="66">ROUND(AVERAGE(O53:Q53),0)</f>
        <v>4</v>
      </c>
      <c r="S53" s="216">
        <v>5</v>
      </c>
      <c r="T53" s="216">
        <v>5</v>
      </c>
      <c r="U53" s="216">
        <v>5</v>
      </c>
      <c r="V53" s="216">
        <v>5</v>
      </c>
      <c r="X53" s="182">
        <f>SUM(C53:F53)</f>
        <v>22</v>
      </c>
      <c r="Y53" s="182">
        <f>SUM(G53:J53)</f>
        <v>24</v>
      </c>
      <c r="Z53" s="182">
        <f>SUM(K53:N53)</f>
        <v>21</v>
      </c>
      <c r="AA53" s="182">
        <f>SUM(O53:R53)</f>
        <v>17</v>
      </c>
      <c r="AB53" s="182">
        <f t="shared" si="63"/>
        <v>20</v>
      </c>
      <c r="AC53" s="219">
        <f>AB53</f>
        <v>20</v>
      </c>
      <c r="AD53" s="219">
        <f t="shared" ref="AD53:AG53" si="67">AC53</f>
        <v>20</v>
      </c>
      <c r="AE53" s="219">
        <f t="shared" si="67"/>
        <v>20</v>
      </c>
      <c r="AF53" s="219">
        <f t="shared" si="67"/>
        <v>20</v>
      </c>
      <c r="AG53" s="219">
        <f t="shared" si="67"/>
        <v>20</v>
      </c>
    </row>
    <row r="54" spans="2:36" outlineLevel="1" x14ac:dyDescent="0.2">
      <c r="B54" s="156" t="s">
        <v>291</v>
      </c>
      <c r="C54" s="199">
        <v>15</v>
      </c>
      <c r="D54" s="199">
        <v>20</v>
      </c>
      <c r="E54" s="199">
        <v>18</v>
      </c>
      <c r="F54" s="199">
        <v>37</v>
      </c>
      <c r="G54" s="199">
        <v>17</v>
      </c>
      <c r="H54" s="199">
        <v>25</v>
      </c>
      <c r="I54" s="199">
        <v>20</v>
      </c>
      <c r="J54" s="199">
        <v>24</v>
      </c>
      <c r="K54" s="199">
        <v>10</v>
      </c>
      <c r="L54" s="199">
        <v>11</v>
      </c>
      <c r="M54" s="199">
        <v>3</v>
      </c>
      <c r="N54" s="199">
        <v>28</v>
      </c>
      <c r="O54" s="199">
        <v>13</v>
      </c>
      <c r="P54" s="199">
        <v>10</v>
      </c>
      <c r="Q54" s="199">
        <v>24</v>
      </c>
      <c r="R54" s="217">
        <f t="shared" si="66"/>
        <v>16</v>
      </c>
      <c r="S54" s="216">
        <f>ROUND(N54*(1+2%),0)</f>
        <v>29</v>
      </c>
      <c r="T54" s="216">
        <f t="shared" ref="T54:V54" si="68">ROUND(O54*(1+2%),0)</f>
        <v>13</v>
      </c>
      <c r="U54" s="216">
        <f t="shared" si="68"/>
        <v>10</v>
      </c>
      <c r="V54" s="216">
        <f t="shared" si="68"/>
        <v>24</v>
      </c>
      <c r="X54" s="182">
        <f>SUM(C54:F54)</f>
        <v>90</v>
      </c>
      <c r="Y54" s="182">
        <f>SUM(G54:J54)</f>
        <v>86</v>
      </c>
      <c r="Z54" s="182">
        <f>SUM(K54:N54)</f>
        <v>52</v>
      </c>
      <c r="AA54" s="182">
        <f>SUM(O54:R54)</f>
        <v>63</v>
      </c>
      <c r="AB54" s="182">
        <f t="shared" si="63"/>
        <v>76</v>
      </c>
      <c r="AC54" s="216">
        <f>ROUND(AB54*(1+2%),0)</f>
        <v>78</v>
      </c>
      <c r="AD54" s="216">
        <f t="shared" ref="AD54:AG55" si="69">ROUND(AC54*(1+2%),0)</f>
        <v>80</v>
      </c>
      <c r="AE54" s="216">
        <f t="shared" si="69"/>
        <v>82</v>
      </c>
      <c r="AF54" s="216">
        <f t="shared" si="69"/>
        <v>84</v>
      </c>
      <c r="AG54" s="216">
        <f t="shared" si="69"/>
        <v>86</v>
      </c>
    </row>
    <row r="55" spans="2:36" outlineLevel="1" x14ac:dyDescent="0.2">
      <c r="B55" s="156" t="s">
        <v>290</v>
      </c>
      <c r="C55" s="199">
        <v>1</v>
      </c>
      <c r="D55" s="199">
        <v>7</v>
      </c>
      <c r="E55" s="199">
        <v>1</v>
      </c>
      <c r="F55" s="199">
        <v>8</v>
      </c>
      <c r="G55" s="199">
        <v>0</v>
      </c>
      <c r="H55" s="199">
        <v>5</v>
      </c>
      <c r="I55" s="199">
        <v>0</v>
      </c>
      <c r="J55" s="199">
        <v>4</v>
      </c>
      <c r="K55" s="199">
        <v>0</v>
      </c>
      <c r="L55" s="199">
        <v>0</v>
      </c>
      <c r="M55" s="199">
        <v>1</v>
      </c>
      <c r="N55" s="199">
        <v>10</v>
      </c>
      <c r="O55" s="199"/>
      <c r="P55" s="199">
        <v>5</v>
      </c>
      <c r="Q55" s="199">
        <v>4</v>
      </c>
      <c r="R55" s="217">
        <f t="shared" si="66"/>
        <v>5</v>
      </c>
      <c r="S55" s="216">
        <f>ROUND(N55*(1+2%),0)</f>
        <v>10</v>
      </c>
      <c r="T55" s="216">
        <f t="shared" ref="T55" si="70">ROUND(O55*(1+2%),0)</f>
        <v>0</v>
      </c>
      <c r="U55" s="216">
        <f t="shared" ref="U55" si="71">ROUND(P55*(1+2%),0)</f>
        <v>5</v>
      </c>
      <c r="V55" s="216">
        <f t="shared" ref="V55" si="72">ROUND(Q55*(1+2%),0)</f>
        <v>4</v>
      </c>
      <c r="X55" s="182">
        <f>SUM(C55:F55)</f>
        <v>17</v>
      </c>
      <c r="Y55" s="182">
        <f>SUM(G55:J55)</f>
        <v>9</v>
      </c>
      <c r="Z55" s="182">
        <f>SUM(K55:N55)</f>
        <v>11</v>
      </c>
      <c r="AA55" s="182">
        <f>SUM(O55:R55)</f>
        <v>14</v>
      </c>
      <c r="AB55" s="182">
        <f t="shared" ref="AB55" si="73">SUM(S55:V55)</f>
        <v>19</v>
      </c>
      <c r="AC55" s="216">
        <f>ROUND(AB55*(1+2%),0)</f>
        <v>19</v>
      </c>
      <c r="AD55" s="216">
        <f t="shared" si="69"/>
        <v>19</v>
      </c>
      <c r="AE55" s="216">
        <f t="shared" si="69"/>
        <v>19</v>
      </c>
      <c r="AF55" s="216">
        <f t="shared" si="69"/>
        <v>19</v>
      </c>
      <c r="AG55" s="216">
        <f t="shared" si="69"/>
        <v>19</v>
      </c>
      <c r="AJ55" s="197"/>
    </row>
    <row r="56" spans="2:36" ht="15" outlineLevel="1" x14ac:dyDescent="0.25">
      <c r="B56" s="164" t="s">
        <v>14</v>
      </c>
      <c r="C56" s="170">
        <f>SUM(C40:C55)</f>
        <v>77</v>
      </c>
      <c r="D56" s="170">
        <f t="shared" ref="D56:Q56" si="74">SUM(D40:D55)</f>
        <v>113</v>
      </c>
      <c r="E56" s="170">
        <f t="shared" si="74"/>
        <v>99</v>
      </c>
      <c r="F56" s="170">
        <f t="shared" si="74"/>
        <v>151</v>
      </c>
      <c r="G56" s="170">
        <f t="shared" si="74"/>
        <v>89</v>
      </c>
      <c r="H56" s="170">
        <f t="shared" si="74"/>
        <v>111</v>
      </c>
      <c r="I56" s="170">
        <f t="shared" si="74"/>
        <v>88</v>
      </c>
      <c r="J56" s="170">
        <f t="shared" si="74"/>
        <v>132</v>
      </c>
      <c r="K56" s="170">
        <f t="shared" si="74"/>
        <v>60</v>
      </c>
      <c r="L56" s="170">
        <f t="shared" si="74"/>
        <v>98</v>
      </c>
      <c r="M56" s="170">
        <f t="shared" si="74"/>
        <v>69</v>
      </c>
      <c r="N56" s="170">
        <f t="shared" si="74"/>
        <v>119</v>
      </c>
      <c r="O56" s="170">
        <f t="shared" si="74"/>
        <v>37</v>
      </c>
      <c r="P56" s="170">
        <f t="shared" si="74"/>
        <v>52</v>
      </c>
      <c r="Q56" s="170">
        <f t="shared" si="74"/>
        <v>115</v>
      </c>
      <c r="R56" s="170">
        <f t="shared" ref="R56" si="75">SUM(R40:R55)</f>
        <v>110.08000000000001</v>
      </c>
      <c r="S56" s="170">
        <f t="shared" ref="S56" si="76">SUM(S40:S55)</f>
        <v>120.59439999999999</v>
      </c>
      <c r="T56" s="170">
        <f t="shared" ref="T56" si="77">SUM(T40:T55)</f>
        <v>101.401112</v>
      </c>
      <c r="U56" s="170">
        <f t="shared" ref="U56" si="78">SUM(U40:U55)</f>
        <v>111.77336775999999</v>
      </c>
      <c r="V56" s="170">
        <f t="shared" ref="V56" si="79">SUM(V40:V55)</f>
        <v>142.68271486399999</v>
      </c>
      <c r="X56" s="170">
        <f t="shared" ref="X56" si="80">SUM(X40:X55)</f>
        <v>404</v>
      </c>
      <c r="Y56" s="170">
        <f t="shared" ref="Y56" si="81">SUM(Y40:Y55)</f>
        <v>380</v>
      </c>
      <c r="Z56" s="170">
        <f t="shared" ref="Z56" si="82">SUM(Z40:Z55)</f>
        <v>317</v>
      </c>
      <c r="AA56" s="170">
        <f t="shared" ref="AA56" si="83">SUM(AA40:AA55)</f>
        <v>291.27999999999997</v>
      </c>
      <c r="AB56" s="170">
        <f t="shared" ref="AB56" si="84">SUM(AB40:AB55)</f>
        <v>476.45159462399999</v>
      </c>
      <c r="AC56" s="170">
        <f t="shared" ref="AC56" si="85">SUM(AC40:AC55)</f>
        <v>506</v>
      </c>
      <c r="AD56" s="170">
        <f t="shared" ref="AD56" si="86">SUM(AD40:AD55)</f>
        <v>519</v>
      </c>
      <c r="AE56" s="170">
        <f t="shared" ref="AE56" si="87">SUM(AE40:AE55)</f>
        <v>532</v>
      </c>
      <c r="AF56" s="170">
        <f t="shared" ref="AF56" si="88">SUM(AF40:AF55)</f>
        <v>546</v>
      </c>
      <c r="AG56" s="170">
        <f t="shared" ref="AG56" si="89">SUM(AG40:AG55)</f>
        <v>560</v>
      </c>
      <c r="AI56" s="197">
        <f>RATE(7,,-Z56,AG56)</f>
        <v>8.4686186035530964E-2</v>
      </c>
    </row>
    <row r="57" spans="2:36" ht="15" outlineLevel="1" x14ac:dyDescent="0.25">
      <c r="B57" s="203"/>
      <c r="C57" s="171"/>
      <c r="D57" s="171"/>
      <c r="E57" s="171"/>
      <c r="F57" s="171"/>
      <c r="G57" s="171"/>
      <c r="H57" s="171"/>
      <c r="I57" s="171"/>
      <c r="J57" s="171"/>
      <c r="K57" s="171"/>
      <c r="L57" s="171"/>
      <c r="M57" s="171"/>
      <c r="N57" s="171"/>
      <c r="O57" s="171"/>
      <c r="P57" s="171"/>
      <c r="Q57" s="171"/>
      <c r="X57" s="210"/>
      <c r="Y57" s="210"/>
      <c r="Z57" s="210"/>
      <c r="AA57" s="210"/>
      <c r="AB57" s="210"/>
      <c r="AC57" s="210"/>
      <c r="AD57" s="210"/>
      <c r="AE57" s="210"/>
      <c r="AF57" s="210"/>
      <c r="AG57" s="210"/>
    </row>
    <row r="58" spans="2:36" ht="15" outlineLevel="1" x14ac:dyDescent="0.25">
      <c r="B58" s="208" t="s">
        <v>278</v>
      </c>
      <c r="C58" s="207"/>
      <c r="D58" s="207"/>
      <c r="E58" s="207"/>
      <c r="F58" s="207"/>
      <c r="G58" s="207"/>
      <c r="H58" s="207"/>
      <c r="I58" s="207"/>
      <c r="J58" s="207"/>
      <c r="K58" s="207"/>
      <c r="L58" s="207"/>
      <c r="M58" s="207"/>
      <c r="N58" s="207"/>
      <c r="O58" s="207"/>
      <c r="P58" s="207"/>
      <c r="Q58" s="207"/>
      <c r="R58" s="207"/>
      <c r="S58" s="207"/>
      <c r="T58" s="207"/>
      <c r="U58" s="207"/>
      <c r="V58" s="207"/>
      <c r="X58" s="207"/>
      <c r="Y58" s="207"/>
      <c r="Z58" s="207"/>
      <c r="AA58" s="207"/>
      <c r="AB58" s="207"/>
      <c r="AC58" s="207"/>
      <c r="AD58" s="207"/>
      <c r="AE58" s="207"/>
      <c r="AF58" s="207"/>
      <c r="AG58" s="207"/>
    </row>
    <row r="59" spans="2:36" ht="15" outlineLevel="1" x14ac:dyDescent="0.25">
      <c r="B59" s="203"/>
      <c r="C59" s="171"/>
      <c r="D59" s="171"/>
      <c r="E59" s="171"/>
      <c r="F59" s="171"/>
      <c r="G59" s="171"/>
      <c r="H59" s="171"/>
      <c r="I59" s="171"/>
      <c r="J59" s="171"/>
      <c r="K59" s="171"/>
      <c r="L59" s="171"/>
      <c r="M59" s="171"/>
      <c r="N59" s="171"/>
      <c r="O59" s="171"/>
      <c r="P59" s="171"/>
      <c r="Q59" s="171"/>
      <c r="X59" s="210"/>
      <c r="Y59" s="210"/>
      <c r="Z59" s="210"/>
      <c r="AA59" s="210"/>
      <c r="AB59" s="210"/>
      <c r="AC59" s="210"/>
      <c r="AD59" s="210"/>
      <c r="AE59" s="210"/>
      <c r="AF59" s="210"/>
      <c r="AG59" s="210"/>
    </row>
    <row r="60" spans="2:36" outlineLevel="1" x14ac:dyDescent="0.2">
      <c r="B60" s="156" t="s">
        <v>1</v>
      </c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69"/>
      <c r="Q60" s="169"/>
    </row>
    <row r="61" spans="2:36" outlineLevel="1" x14ac:dyDescent="0.2">
      <c r="B61" s="157" t="s">
        <v>5</v>
      </c>
      <c r="C61" s="182">
        <v>227</v>
      </c>
      <c r="D61" s="182">
        <v>260</v>
      </c>
      <c r="E61" s="182">
        <v>299</v>
      </c>
      <c r="F61" s="182">
        <v>319</v>
      </c>
      <c r="G61" s="182">
        <v>329</v>
      </c>
      <c r="H61" s="182">
        <v>362</v>
      </c>
      <c r="I61" s="182">
        <v>388</v>
      </c>
      <c r="J61" s="182">
        <v>416</v>
      </c>
      <c r="K61" s="182">
        <v>432</v>
      </c>
      <c r="L61" s="182">
        <v>446</v>
      </c>
      <c r="M61" s="182">
        <v>446</v>
      </c>
      <c r="N61" s="182">
        <v>474</v>
      </c>
      <c r="O61" s="182">
        <v>492</v>
      </c>
      <c r="P61" s="182">
        <v>528</v>
      </c>
      <c r="Q61" s="182">
        <v>534</v>
      </c>
      <c r="R61" s="182">
        <f>N61*(1+R62)</f>
        <v>543.88323809523808</v>
      </c>
      <c r="S61" s="182">
        <f t="shared" ref="S61:V61" si="90">O61*(1+S62)</f>
        <v>545.1603174603174</v>
      </c>
      <c r="T61" s="182">
        <f t="shared" si="90"/>
        <v>570.30634920634918</v>
      </c>
      <c r="U61" s="182">
        <f t="shared" si="90"/>
        <v>577.65238095238089</v>
      </c>
      <c r="V61" s="182">
        <f t="shared" si="90"/>
        <v>596.8650793650794</v>
      </c>
      <c r="X61" s="182">
        <f>SUM(C61:F61)</f>
        <v>1105</v>
      </c>
      <c r="Y61" s="182">
        <f>SUM(G61:J61)</f>
        <v>1495</v>
      </c>
      <c r="Z61" s="182">
        <f>SUM(K61:N61)</f>
        <v>1798</v>
      </c>
      <c r="AA61" s="182">
        <f>SUM(O61:R61)</f>
        <v>2097.8832380952381</v>
      </c>
      <c r="AB61" s="182">
        <f>SUM(S61:V61)</f>
        <v>2289.9841269841272</v>
      </c>
      <c r="AC61" s="182">
        <f>AB61*(1+AC62)</f>
        <v>2629.9584761904762</v>
      </c>
      <c r="AD61" s="182">
        <f t="shared" ref="AD61:AG61" si="91">AC61*(1+AD62)</f>
        <v>2800.1095238095236</v>
      </c>
      <c r="AE61" s="182">
        <f t="shared" si="91"/>
        <v>3241.2952380952374</v>
      </c>
      <c r="AF61" s="182">
        <f t="shared" si="91"/>
        <v>3403.3599999999997</v>
      </c>
      <c r="AG61" s="182">
        <f t="shared" si="91"/>
        <v>3573.5279999999998</v>
      </c>
    </row>
    <row r="62" spans="2:36" outlineLevel="1" x14ac:dyDescent="0.2">
      <c r="B62" s="168" t="s">
        <v>199</v>
      </c>
      <c r="C62" s="169"/>
      <c r="D62" s="169"/>
      <c r="E62" s="169"/>
      <c r="F62" s="169"/>
      <c r="G62" s="342">
        <f t="shared" ref="G62:N62" si="92">IFERROR(G61/C61-1,0)</f>
        <v>0.44933920704845809</v>
      </c>
      <c r="H62" s="342">
        <f t="shared" si="92"/>
        <v>0.39230769230769225</v>
      </c>
      <c r="I62" s="342">
        <f t="shared" si="92"/>
        <v>0.2976588628762542</v>
      </c>
      <c r="J62" s="342">
        <f t="shared" si="92"/>
        <v>0.30407523510971779</v>
      </c>
      <c r="K62" s="342">
        <f t="shared" si="92"/>
        <v>0.31306990881458963</v>
      </c>
      <c r="L62" s="342">
        <f t="shared" si="92"/>
        <v>0.2320441988950277</v>
      </c>
      <c r="M62" s="342">
        <f t="shared" si="92"/>
        <v>0.14948453608247414</v>
      </c>
      <c r="N62" s="342">
        <f t="shared" si="92"/>
        <v>0.13942307692307687</v>
      </c>
      <c r="O62" s="342">
        <f>IFERROR(O61/K61-1,0)</f>
        <v>0.13888888888888884</v>
      </c>
      <c r="P62" s="342">
        <f t="shared" ref="P62:Q62" si="93">IFERROR(P61/L61-1,0)</f>
        <v>0.18385650224215255</v>
      </c>
      <c r="Q62" s="342">
        <f t="shared" si="93"/>
        <v>0.19730941704035865</v>
      </c>
      <c r="R62" s="396">
        <f>'vs. Consensus'!G100</f>
        <v>0.14743299176210556</v>
      </c>
      <c r="S62" s="396">
        <f>'vs. Consensus'!H100</f>
        <v>0.10804942573235254</v>
      </c>
      <c r="T62" s="396">
        <f>'vs. Consensus'!I100</f>
        <v>8.012566137566135E-2</v>
      </c>
      <c r="U62" s="396">
        <f>'vs. Consensus'!J100</f>
        <v>8.1746031746031678E-2</v>
      </c>
      <c r="V62" s="396">
        <f>'vs. Consensus'!K100</f>
        <v>9.7413999106484406E-2</v>
      </c>
      <c r="W62" s="357"/>
      <c r="X62" s="357"/>
      <c r="Y62" s="342">
        <f>IFERROR(Y61/X61-1,0)</f>
        <v>0.35294117647058831</v>
      </c>
      <c r="Z62" s="342">
        <f>IFERROR(Z61/Y61-1,0)</f>
        <v>0.20267558528428098</v>
      </c>
      <c r="AA62" s="342">
        <f>IFERROR(AA61/Z61-1,0)</f>
        <v>0.16678711796175638</v>
      </c>
      <c r="AB62" s="342">
        <f>IFERROR(AB61/AA61-1,0)</f>
        <v>9.1568913560368559E-2</v>
      </c>
      <c r="AC62" s="396">
        <f>'vs. Consensus'!T100</f>
        <v>0.14846144355336199</v>
      </c>
      <c r="AD62" s="396">
        <f>'vs. Consensus'!U100</f>
        <v>6.4697237298405152E-2</v>
      </c>
      <c r="AE62" s="396">
        <f>'vs. Consensus'!V100</f>
        <v>0.15756016346299373</v>
      </c>
      <c r="AF62" s="396">
        <v>0.05</v>
      </c>
      <c r="AG62" s="396">
        <v>0.05</v>
      </c>
    </row>
    <row r="63" spans="2:36" outlineLevel="1" x14ac:dyDescent="0.2">
      <c r="B63" s="157" t="s">
        <v>6</v>
      </c>
      <c r="C63" s="182">
        <v>148</v>
      </c>
      <c r="D63" s="182">
        <v>129</v>
      </c>
      <c r="E63" s="182">
        <v>126</v>
      </c>
      <c r="F63" s="182">
        <v>134</v>
      </c>
      <c r="G63" s="182">
        <v>148</v>
      </c>
      <c r="H63" s="182">
        <v>155</v>
      </c>
      <c r="I63" s="182">
        <v>156</v>
      </c>
      <c r="J63" s="182">
        <v>157</v>
      </c>
      <c r="K63" s="182">
        <v>170</v>
      </c>
      <c r="L63" s="182">
        <v>184</v>
      </c>
      <c r="M63" s="182">
        <v>209</v>
      </c>
      <c r="N63" s="182">
        <v>227</v>
      </c>
      <c r="O63" s="182">
        <v>244</v>
      </c>
      <c r="P63" s="182">
        <v>251</v>
      </c>
      <c r="Q63" s="182">
        <v>245</v>
      </c>
      <c r="R63" s="182">
        <f>N63*(1+R64)</f>
        <v>244.65</v>
      </c>
      <c r="S63" s="182">
        <f t="shared" ref="S63" si="94">O63*(1+S64)</f>
        <v>255.78125</v>
      </c>
      <c r="T63" s="182">
        <f t="shared" ref="T63" si="95">P63*(1+T64)</f>
        <v>260.78125</v>
      </c>
      <c r="U63" s="182">
        <f t="shared" ref="U63" si="96">Q63*(1+U64)</f>
        <v>260.9375</v>
      </c>
      <c r="V63" s="182">
        <f t="shared" ref="V63" si="97">R63*(1+V64)</f>
        <v>268.75</v>
      </c>
      <c r="X63" s="182">
        <f>SUM(C63:F63)</f>
        <v>537</v>
      </c>
      <c r="Y63" s="182">
        <f>SUM(G63:J63)</f>
        <v>616</v>
      </c>
      <c r="Z63" s="182">
        <f>SUM(K63:N63)</f>
        <v>790</v>
      </c>
      <c r="AA63" s="182">
        <f>SUM(O63:R63)</f>
        <v>984.65</v>
      </c>
      <c r="AB63" s="182">
        <f>SUM(S63:V63)</f>
        <v>1046.25</v>
      </c>
      <c r="AC63" s="182">
        <f>AB63*(1+AC64)</f>
        <v>1179.2874999999999</v>
      </c>
      <c r="AD63" s="182">
        <f t="shared" ref="AD63" si="98">AC63*(1+AD64)</f>
        <v>1265.9375</v>
      </c>
      <c r="AE63" s="182">
        <f t="shared" ref="AE63" si="99">AD63*(1+AE64)</f>
        <v>1388.125</v>
      </c>
      <c r="AF63" s="182">
        <f t="shared" ref="AF63" si="100">AE63*(1+AF64)</f>
        <v>1457.53125</v>
      </c>
      <c r="AG63" s="182">
        <f t="shared" ref="AG63" si="101">AF63*(1+AG64)</f>
        <v>1530.4078125000001</v>
      </c>
    </row>
    <row r="64" spans="2:36" outlineLevel="1" x14ac:dyDescent="0.2">
      <c r="B64" s="168" t="s">
        <v>199</v>
      </c>
      <c r="C64" s="169"/>
      <c r="D64" s="169"/>
      <c r="E64" s="169"/>
      <c r="F64" s="169"/>
      <c r="G64" s="342">
        <f t="shared" ref="G64" si="102">IFERROR(G63/C63-1,0)</f>
        <v>0</v>
      </c>
      <c r="H64" s="342">
        <f t="shared" ref="H64" si="103">IFERROR(H63/D63-1,0)</f>
        <v>0.20155038759689914</v>
      </c>
      <c r="I64" s="342">
        <f t="shared" ref="I64" si="104">IFERROR(I63/E63-1,0)</f>
        <v>0.23809523809523814</v>
      </c>
      <c r="J64" s="342">
        <f t="shared" ref="J64" si="105">IFERROR(J63/F63-1,0)</f>
        <v>0.17164179104477606</v>
      </c>
      <c r="K64" s="342">
        <f t="shared" ref="K64" si="106">IFERROR(K63/G63-1,0)</f>
        <v>0.14864864864864868</v>
      </c>
      <c r="L64" s="342">
        <f t="shared" ref="L64" si="107">IFERROR(L63/H63-1,0)</f>
        <v>0.18709677419354831</v>
      </c>
      <c r="M64" s="342">
        <f t="shared" ref="M64" si="108">IFERROR(M63/I63-1,0)</f>
        <v>0.33974358974358965</v>
      </c>
      <c r="N64" s="342">
        <f t="shared" ref="N64" si="109">IFERROR(N63/J63-1,0)</f>
        <v>0.44585987261146487</v>
      </c>
      <c r="O64" s="342">
        <f>IFERROR(O63/K63-1,0)</f>
        <v>0.43529411764705883</v>
      </c>
      <c r="P64" s="342">
        <f t="shared" ref="P64" si="110">IFERROR(P63/L63-1,0)</f>
        <v>0.36413043478260865</v>
      </c>
      <c r="Q64" s="342">
        <f t="shared" ref="Q64" si="111">IFERROR(Q63/M63-1,0)</f>
        <v>0.17224880382775121</v>
      </c>
      <c r="R64" s="396">
        <f>'vs. Consensus'!G101</f>
        <v>7.775330396475777E-2</v>
      </c>
      <c r="S64" s="396">
        <f>'vs. Consensus'!H101</f>
        <v>4.8283811475409832E-2</v>
      </c>
      <c r="T64" s="396">
        <f>'vs. Consensus'!I101</f>
        <v>3.8969123505976144E-2</v>
      </c>
      <c r="U64" s="396">
        <f>'vs. Consensus'!J101</f>
        <v>6.5051020408163351E-2</v>
      </c>
      <c r="V64" s="396">
        <f>'vs. Consensus'!K101</f>
        <v>9.8508072756999798E-2</v>
      </c>
      <c r="W64" s="357"/>
      <c r="X64" s="357"/>
      <c r="Y64" s="342">
        <f>IFERROR(Y63/X63-1,0)</f>
        <v>0.14711359404096824</v>
      </c>
      <c r="Z64" s="342">
        <f>IFERROR(Z63/Y63-1,0)</f>
        <v>0.28246753246753253</v>
      </c>
      <c r="AA64" s="342">
        <f>IFERROR(AA63/Z63-1,0)</f>
        <v>0.24639240506329108</v>
      </c>
      <c r="AB64" s="342">
        <f>IFERROR(AB63/AA63-1,0)</f>
        <v>6.2560300614431519E-2</v>
      </c>
      <c r="AC64" s="396">
        <f>'vs. Consensus'!T101</f>
        <v>0.12715651135005968</v>
      </c>
      <c r="AD64" s="396">
        <f>'vs. Consensus'!U101</f>
        <v>7.3476569538810654E-2</v>
      </c>
      <c r="AE64" s="396">
        <f>'vs. Consensus'!V101</f>
        <v>9.6519377931374883E-2</v>
      </c>
      <c r="AF64" s="396">
        <v>0.05</v>
      </c>
      <c r="AG64" s="396">
        <v>0.05</v>
      </c>
    </row>
    <row r="65" spans="2:37" outlineLevel="1" x14ac:dyDescent="0.2">
      <c r="B65" s="157" t="s">
        <v>7</v>
      </c>
      <c r="C65" s="182">
        <v>80</v>
      </c>
      <c r="D65" s="182">
        <v>79</v>
      </c>
      <c r="E65" s="182">
        <v>118</v>
      </c>
      <c r="F65" s="182">
        <v>110</v>
      </c>
      <c r="G65" s="182">
        <v>109</v>
      </c>
      <c r="H65" s="182">
        <v>108</v>
      </c>
      <c r="I65" s="182">
        <v>124</v>
      </c>
      <c r="J65" s="182">
        <v>154</v>
      </c>
      <c r="K65" s="182">
        <v>152</v>
      </c>
      <c r="L65" s="182">
        <v>141</v>
      </c>
      <c r="M65" s="182">
        <v>165</v>
      </c>
      <c r="N65" s="182">
        <v>183</v>
      </c>
      <c r="O65" s="182">
        <v>192</v>
      </c>
      <c r="P65" s="182">
        <v>200</v>
      </c>
      <c r="Q65" s="182">
        <v>183</v>
      </c>
      <c r="R65" s="182">
        <f>N65*(1+R66)</f>
        <v>191.79557312252965</v>
      </c>
      <c r="S65" s="182">
        <f t="shared" ref="S65" si="112">O65*(1+S66)</f>
        <v>195.29644268774706</v>
      </c>
      <c r="T65" s="182">
        <f t="shared" ref="T65" si="113">P65*(1+T66)</f>
        <v>203.61462450592887</v>
      </c>
      <c r="U65" s="182">
        <f t="shared" ref="U65" si="114">Q65*(1+U66)</f>
        <v>200.72134387351781</v>
      </c>
      <c r="V65" s="182">
        <f t="shared" ref="V65" si="115">R65*(1+V66)</f>
        <v>212.11363636363635</v>
      </c>
      <c r="X65" s="182">
        <f>SUM(C65:F65)</f>
        <v>387</v>
      </c>
      <c r="Y65" s="182">
        <f>SUM(G65:J65)</f>
        <v>495</v>
      </c>
      <c r="Z65" s="182">
        <f>SUM(K65:N65)</f>
        <v>641</v>
      </c>
      <c r="AA65" s="182">
        <f>SUM(O65:R65)</f>
        <v>766.79557312252962</v>
      </c>
      <c r="AB65" s="182">
        <f>SUM(S65:V65)</f>
        <v>811.74604743083012</v>
      </c>
      <c r="AC65" s="182">
        <f>AB65*(1+AC66)</f>
        <v>912.10671936758899</v>
      </c>
      <c r="AD65" s="182">
        <f t="shared" ref="AD65" si="116">AC65*(1+AD66)</f>
        <v>972.14229249011862</v>
      </c>
      <c r="AE65" s="182">
        <f t="shared" ref="AE65" si="117">AD65*(1+AE66)</f>
        <v>1067.6205533596838</v>
      </c>
      <c r="AF65" s="182">
        <f t="shared" ref="AF65" si="118">AE65*(1+AF66)</f>
        <v>1121.001581027668</v>
      </c>
      <c r="AG65" s="182">
        <f t="shared" ref="AG65" si="119">AF65*(1+AG66)</f>
        <v>1177.0516600790513</v>
      </c>
    </row>
    <row r="66" spans="2:37" outlineLevel="1" x14ac:dyDescent="0.2">
      <c r="B66" s="168" t="s">
        <v>199</v>
      </c>
      <c r="C66" s="169"/>
      <c r="D66" s="169"/>
      <c r="E66" s="169"/>
      <c r="F66" s="169"/>
      <c r="G66" s="342">
        <f t="shared" ref="G66" si="120">IFERROR(G65/C65-1,0)</f>
        <v>0.36250000000000004</v>
      </c>
      <c r="H66" s="342">
        <f t="shared" ref="H66" si="121">IFERROR(H65/D65-1,0)</f>
        <v>0.36708860759493667</v>
      </c>
      <c r="I66" s="342">
        <f t="shared" ref="I66" si="122">IFERROR(I65/E65-1,0)</f>
        <v>5.0847457627118731E-2</v>
      </c>
      <c r="J66" s="342">
        <f t="shared" ref="J66" si="123">IFERROR(J65/F65-1,0)</f>
        <v>0.39999999999999991</v>
      </c>
      <c r="K66" s="342">
        <f t="shared" ref="K66" si="124">IFERROR(K65/G65-1,0)</f>
        <v>0.39449541284403677</v>
      </c>
      <c r="L66" s="342">
        <f t="shared" ref="L66" si="125">IFERROR(L65/H65-1,0)</f>
        <v>0.30555555555555558</v>
      </c>
      <c r="M66" s="342">
        <f t="shared" ref="M66" si="126">IFERROR(M65/I65-1,0)</f>
        <v>0.33064516129032251</v>
      </c>
      <c r="N66" s="342">
        <f t="shared" ref="N66" si="127">IFERROR(N65/J65-1,0)</f>
        <v>0.18831168831168821</v>
      </c>
      <c r="O66" s="342">
        <f>IFERROR(O65/K65-1,0)</f>
        <v>0.26315789473684204</v>
      </c>
      <c r="P66" s="342">
        <f t="shared" ref="P66" si="128">IFERROR(P65/L65-1,0)</f>
        <v>0.41843971631205679</v>
      </c>
      <c r="Q66" s="342">
        <f t="shared" ref="Q66" si="129">IFERROR(Q65/M65-1,0)</f>
        <v>0.10909090909090913</v>
      </c>
      <c r="R66" s="396">
        <f>'vs. Consensus'!G102</f>
        <v>4.8063241106719445E-2</v>
      </c>
      <c r="S66" s="396">
        <f>'vs. Consensus'!H102</f>
        <v>1.7168972332015864E-2</v>
      </c>
      <c r="T66" s="396">
        <f>'vs. Consensus'!I102</f>
        <v>1.8073122529644436E-2</v>
      </c>
      <c r="U66" s="396">
        <f>'vs. Consensus'!J102</f>
        <v>9.6837944664031728E-2</v>
      </c>
      <c r="V66" s="396">
        <f>'vs. Consensus'!K102</f>
        <v>0.10593603861819267</v>
      </c>
      <c r="W66" s="357"/>
      <c r="X66" s="357"/>
      <c r="Y66" s="342">
        <f>IFERROR(Y65/X65-1,0)</f>
        <v>0.27906976744186052</v>
      </c>
      <c r="Z66" s="342">
        <f>IFERROR(Z65/Y65-1,0)</f>
        <v>0.29494949494949485</v>
      </c>
      <c r="AA66" s="342">
        <f>IFERROR(AA65/Z65-1,0)</f>
        <v>0.19624894402890747</v>
      </c>
      <c r="AB66" s="342">
        <f>IFERROR(AB65/AA65-1,0)</f>
        <v>5.8621196944648624E-2</v>
      </c>
      <c r="AC66" s="396">
        <f>'vs. Consensus'!T102</f>
        <v>0.12363555357540656</v>
      </c>
      <c r="AD66" s="396">
        <f>'vs. Consensus'!U102</f>
        <v>6.5820777160983335E-2</v>
      </c>
      <c r="AE66" s="396">
        <f>'vs. Consensus'!V102</f>
        <v>9.8214285714285587E-2</v>
      </c>
      <c r="AF66" s="396">
        <v>0.05</v>
      </c>
      <c r="AG66" s="396">
        <v>0.05</v>
      </c>
    </row>
    <row r="67" spans="2:37" outlineLevel="1" x14ac:dyDescent="0.2">
      <c r="B67" s="157" t="s">
        <v>8</v>
      </c>
      <c r="C67" s="182"/>
      <c r="D67" s="182">
        <v>0</v>
      </c>
      <c r="E67" s="182">
        <v>0</v>
      </c>
      <c r="F67" s="182">
        <v>0</v>
      </c>
      <c r="G67" s="182">
        <v>0</v>
      </c>
      <c r="H67" s="182">
        <v>0</v>
      </c>
      <c r="I67" s="182">
        <v>0</v>
      </c>
      <c r="J67" s="182">
        <v>0</v>
      </c>
      <c r="K67" s="182">
        <v>0</v>
      </c>
      <c r="L67" s="182">
        <v>0</v>
      </c>
      <c r="M67" s="182">
        <v>0</v>
      </c>
      <c r="N67" s="182">
        <v>0</v>
      </c>
      <c r="O67" s="182">
        <v>0</v>
      </c>
      <c r="P67" s="182">
        <v>0</v>
      </c>
      <c r="Q67" s="182">
        <v>0</v>
      </c>
      <c r="R67" s="182">
        <f>N67*(1+R68)</f>
        <v>0</v>
      </c>
      <c r="S67" s="182">
        <f t="shared" ref="S67" si="130">O67*(1+S68)</f>
        <v>0</v>
      </c>
      <c r="T67" s="182">
        <f t="shared" ref="T67" si="131">P67*(1+T68)</f>
        <v>0</v>
      </c>
      <c r="U67" s="182">
        <f t="shared" ref="U67" si="132">Q67*(1+U68)</f>
        <v>0</v>
      </c>
      <c r="V67" s="182">
        <f t="shared" ref="V67" si="133">R67*(1+V68)</f>
        <v>0</v>
      </c>
      <c r="X67" s="182">
        <f>SUM(C67:F67)</f>
        <v>0</v>
      </c>
      <c r="Y67" s="182">
        <f>SUM(G67:J67)</f>
        <v>0</v>
      </c>
      <c r="Z67" s="182">
        <f>SUM(K67:N67)</f>
        <v>0</v>
      </c>
      <c r="AA67" s="182">
        <f>SUM(O67:R67)</f>
        <v>0</v>
      </c>
      <c r="AB67" s="182">
        <f>SUM(S67:V67)</f>
        <v>0</v>
      </c>
      <c r="AC67" s="182">
        <v>0</v>
      </c>
      <c r="AD67" s="182">
        <v>0</v>
      </c>
      <c r="AE67" s="182">
        <v>0</v>
      </c>
      <c r="AF67" s="182">
        <v>0</v>
      </c>
      <c r="AG67" s="182">
        <v>0</v>
      </c>
    </row>
    <row r="68" spans="2:37" outlineLevel="1" x14ac:dyDescent="0.2">
      <c r="B68" s="168" t="s">
        <v>199</v>
      </c>
      <c r="C68" s="169"/>
      <c r="D68" s="169"/>
      <c r="E68" s="169"/>
      <c r="F68" s="169"/>
      <c r="G68" s="342">
        <f t="shared" ref="G68" si="134">IFERROR(G67/C67-1,0)</f>
        <v>0</v>
      </c>
      <c r="H68" s="342">
        <f t="shared" ref="H68" si="135">IFERROR(H67/D67-1,0)</f>
        <v>0</v>
      </c>
      <c r="I68" s="342">
        <f t="shared" ref="I68" si="136">IFERROR(I67/E67-1,0)</f>
        <v>0</v>
      </c>
      <c r="J68" s="342">
        <f t="shared" ref="J68" si="137">IFERROR(J67/F67-1,0)</f>
        <v>0</v>
      </c>
      <c r="K68" s="342">
        <f t="shared" ref="K68" si="138">IFERROR(K67/G67-1,0)</f>
        <v>0</v>
      </c>
      <c r="L68" s="342">
        <f t="shared" ref="L68" si="139">IFERROR(L67/H67-1,0)</f>
        <v>0</v>
      </c>
      <c r="M68" s="342">
        <f t="shared" ref="M68" si="140">IFERROR(M67/I67-1,0)</f>
        <v>0</v>
      </c>
      <c r="N68" s="342">
        <f t="shared" ref="N68" si="141">IFERROR(N67/J67-1,0)</f>
        <v>0</v>
      </c>
      <c r="O68" s="342">
        <f>IFERROR(O67/K67-1,0)</f>
        <v>0</v>
      </c>
      <c r="P68" s="342">
        <f t="shared" ref="P68" si="142">IFERROR(P67/L67-1,0)</f>
        <v>0</v>
      </c>
      <c r="Q68" s="342">
        <f t="shared" ref="Q68" si="143">IFERROR(Q67/M67-1,0)</f>
        <v>0</v>
      </c>
      <c r="R68" s="396"/>
      <c r="S68" s="396"/>
      <c r="T68" s="396"/>
      <c r="U68" s="396"/>
      <c r="V68" s="396"/>
      <c r="W68" s="357"/>
      <c r="X68" s="357"/>
      <c r="Y68" s="342">
        <f>IFERROR(Y67/X67-1,0)</f>
        <v>0</v>
      </c>
      <c r="Z68" s="342">
        <f>IFERROR(Z67/Y67-1,0)</f>
        <v>0</v>
      </c>
      <c r="AA68" s="342">
        <f>IFERROR(AA67/Z67-1,0)</f>
        <v>0</v>
      </c>
      <c r="AB68" s="342">
        <f>IFERROR(AB67/AA67-1,0)</f>
        <v>0</v>
      </c>
      <c r="AC68" s="342"/>
      <c r="AD68" s="342"/>
      <c r="AE68" s="342"/>
      <c r="AF68" s="342"/>
      <c r="AG68" s="342"/>
    </row>
    <row r="69" spans="2:37" ht="15" outlineLevel="1" x14ac:dyDescent="0.25">
      <c r="B69" s="164" t="s">
        <v>9</v>
      </c>
      <c r="C69" s="170">
        <f t="shared" ref="C69:K69" si="144">SUM(C61,C63,C65,C67)</f>
        <v>455</v>
      </c>
      <c r="D69" s="170">
        <f t="shared" si="144"/>
        <v>468</v>
      </c>
      <c r="E69" s="170">
        <f t="shared" si="144"/>
        <v>543</v>
      </c>
      <c r="F69" s="170">
        <f t="shared" si="144"/>
        <v>563</v>
      </c>
      <c r="G69" s="170">
        <f t="shared" si="144"/>
        <v>586</v>
      </c>
      <c r="H69" s="170">
        <f t="shared" si="144"/>
        <v>625</v>
      </c>
      <c r="I69" s="170">
        <f t="shared" si="144"/>
        <v>668</v>
      </c>
      <c r="J69" s="170">
        <f t="shared" si="144"/>
        <v>727</v>
      </c>
      <c r="K69" s="170">
        <f t="shared" si="144"/>
        <v>754</v>
      </c>
      <c r="L69" s="170">
        <f t="shared" ref="L69:V69" si="145">SUM(L61,L63,L65,L67)</f>
        <v>771</v>
      </c>
      <c r="M69" s="170">
        <f t="shared" si="145"/>
        <v>820</v>
      </c>
      <c r="N69" s="170">
        <f t="shared" si="145"/>
        <v>884</v>
      </c>
      <c r="O69" s="170">
        <f t="shared" si="145"/>
        <v>928</v>
      </c>
      <c r="P69" s="170">
        <f t="shared" si="145"/>
        <v>979</v>
      </c>
      <c r="Q69" s="170">
        <f t="shared" si="145"/>
        <v>962</v>
      </c>
      <c r="R69" s="170">
        <f t="shared" si="145"/>
        <v>980.32881121776768</v>
      </c>
      <c r="S69" s="170">
        <f t="shared" si="145"/>
        <v>996.2380101480644</v>
      </c>
      <c r="T69" s="170">
        <f t="shared" si="145"/>
        <v>1034.7022237122781</v>
      </c>
      <c r="U69" s="170">
        <f t="shared" si="145"/>
        <v>1039.3112248258988</v>
      </c>
      <c r="V69" s="170">
        <f t="shared" si="145"/>
        <v>1077.7287157287158</v>
      </c>
      <c r="X69" s="170">
        <f t="shared" ref="X69" si="146">SUM(X61,X63,X65,X67)</f>
        <v>2029</v>
      </c>
      <c r="Y69" s="170">
        <f t="shared" ref="Y69:AG69" si="147">SUM(Y61,Y63,Y65,Y67)</f>
        <v>2606</v>
      </c>
      <c r="Z69" s="170">
        <f t="shared" si="147"/>
        <v>3229</v>
      </c>
      <c r="AA69" s="170">
        <f t="shared" si="147"/>
        <v>3849.3288112177679</v>
      </c>
      <c r="AB69" s="170">
        <f t="shared" si="147"/>
        <v>4147.9801744149572</v>
      </c>
      <c r="AC69" s="170">
        <f t="shared" si="147"/>
        <v>4721.3526955580655</v>
      </c>
      <c r="AD69" s="170">
        <f t="shared" si="147"/>
        <v>5038.1893162996421</v>
      </c>
      <c r="AE69" s="170">
        <f t="shared" si="147"/>
        <v>5697.0407914549214</v>
      </c>
      <c r="AF69" s="170">
        <f t="shared" si="147"/>
        <v>5981.8928310276679</v>
      </c>
      <c r="AG69" s="170">
        <f t="shared" si="147"/>
        <v>6280.9874725790514</v>
      </c>
      <c r="AI69" s="197">
        <f>RATE(7,,-Z69,AG69)</f>
        <v>9.9714580525076049E-2</v>
      </c>
    </row>
    <row r="70" spans="2:37" ht="15" outlineLevel="1" x14ac:dyDescent="0.25">
      <c r="B70" s="168" t="s">
        <v>199</v>
      </c>
      <c r="C70" s="171"/>
      <c r="D70" s="171"/>
      <c r="E70" s="171"/>
      <c r="F70" s="171"/>
      <c r="G70" s="171"/>
      <c r="H70" s="171"/>
      <c r="I70" s="171"/>
      <c r="J70" s="171"/>
      <c r="K70" s="171"/>
      <c r="L70" s="171"/>
      <c r="M70" s="171"/>
      <c r="N70" s="171"/>
      <c r="O70" s="171"/>
      <c r="P70" s="171"/>
      <c r="Q70" s="171"/>
      <c r="AA70" s="180">
        <f>IFERROR(AA69/Z69-1,0)</f>
        <v>0.19211174085406246</v>
      </c>
      <c r="AB70" s="180">
        <f>IFERROR(AB69/AA69-1,0)</f>
        <v>7.7585308463869129E-2</v>
      </c>
      <c r="AC70" s="180">
        <f t="shared" ref="AC70:AG70" si="148">IFERROR(AC69/AB69-1,0)</f>
        <v>0.13822933018815076</v>
      </c>
      <c r="AD70" s="180">
        <f t="shared" si="148"/>
        <v>6.7107170586866438E-2</v>
      </c>
      <c r="AE70" s="180">
        <f t="shared" si="148"/>
        <v>0.13077148034587571</v>
      </c>
      <c r="AF70" s="180">
        <f t="shared" si="148"/>
        <v>5.0000000000000044E-2</v>
      </c>
      <c r="AG70" s="180">
        <f t="shared" si="148"/>
        <v>5.0000000000000044E-2</v>
      </c>
    </row>
    <row r="71" spans="2:37" ht="15" outlineLevel="1" x14ac:dyDescent="0.25">
      <c r="B71" s="168"/>
      <c r="C71" s="171"/>
      <c r="D71" s="171"/>
      <c r="E71" s="171"/>
      <c r="F71" s="171"/>
      <c r="G71" s="171"/>
      <c r="H71" s="171"/>
      <c r="I71" s="171"/>
      <c r="J71" s="171"/>
      <c r="K71" s="171"/>
      <c r="L71" s="171"/>
      <c r="M71" s="171"/>
      <c r="N71" s="171"/>
      <c r="O71" s="171"/>
      <c r="P71" s="171"/>
      <c r="Q71" s="171"/>
      <c r="AA71" s="180"/>
      <c r="AB71" s="180"/>
      <c r="AC71" s="180"/>
      <c r="AD71" s="180"/>
      <c r="AE71" s="180"/>
      <c r="AF71" s="180"/>
      <c r="AG71" s="180"/>
    </row>
    <row r="72" spans="2:37" outlineLevel="1" x14ac:dyDescent="0.2">
      <c r="B72" s="168" t="s">
        <v>239</v>
      </c>
      <c r="C72" s="205">
        <f t="shared" ref="C72:V72" si="149">C69/C36</f>
        <v>1.8958333333333333</v>
      </c>
      <c r="D72" s="205">
        <f t="shared" si="149"/>
        <v>1.6027397260273972</v>
      </c>
      <c r="E72" s="205">
        <f t="shared" si="149"/>
        <v>2.1633466135458166</v>
      </c>
      <c r="F72" s="205">
        <f t="shared" si="149"/>
        <v>1.6755952380952381</v>
      </c>
      <c r="G72" s="205">
        <f t="shared" si="149"/>
        <v>2.1544117647058822</v>
      </c>
      <c r="H72" s="205">
        <f t="shared" si="149"/>
        <v>1.9654088050314464</v>
      </c>
      <c r="I72" s="205">
        <f t="shared" si="149"/>
        <v>2.2955326460481098</v>
      </c>
      <c r="J72" s="205">
        <f t="shared" si="149"/>
        <v>1.6560364464692483</v>
      </c>
      <c r="K72" s="205">
        <f t="shared" si="149"/>
        <v>2.5559322033898306</v>
      </c>
      <c r="L72" s="205">
        <f t="shared" si="149"/>
        <v>2.0837837837837836</v>
      </c>
      <c r="M72" s="205">
        <f t="shared" si="149"/>
        <v>2.5308641975308643</v>
      </c>
      <c r="N72" s="205">
        <f t="shared" si="149"/>
        <v>1.782258064516129</v>
      </c>
      <c r="O72" s="205">
        <f t="shared" si="149"/>
        <v>3.5285171102661597</v>
      </c>
      <c r="P72" s="205">
        <f t="shared" si="149"/>
        <v>2.9666666666666668</v>
      </c>
      <c r="Q72" s="205">
        <f t="shared" si="149"/>
        <v>2.8461538461538463</v>
      </c>
      <c r="R72" s="205">
        <f t="shared" si="149"/>
        <v>2.1931293315833731</v>
      </c>
      <c r="S72" s="205">
        <f t="shared" si="149"/>
        <v>3.074808673296495</v>
      </c>
      <c r="T72" s="205">
        <f t="shared" si="149"/>
        <v>2.9478695832258635</v>
      </c>
      <c r="U72" s="205">
        <f t="shared" si="149"/>
        <v>3.0212535605404032</v>
      </c>
      <c r="V72" s="205">
        <f t="shared" si="149"/>
        <v>2.7284271284271284</v>
      </c>
      <c r="X72" s="205">
        <f>X69/X36</f>
        <v>1.8132260947274352</v>
      </c>
      <c r="Y72" s="205">
        <f>Y69/Y36</f>
        <v>1.9742424242424241</v>
      </c>
      <c r="Z72" s="205">
        <f>Z69/Z36</f>
        <v>2.1744107744107746</v>
      </c>
      <c r="AA72" s="205">
        <f t="shared" ref="AA72:AG72" si="150">AA69/AA36</f>
        <v>2.7934171344105718</v>
      </c>
      <c r="AB72" s="205">
        <f t="shared" si="150"/>
        <v>2.6998751428148071</v>
      </c>
      <c r="AC72" s="205">
        <f t="shared" si="150"/>
        <v>2.8991293164129583</v>
      </c>
      <c r="AD72" s="205">
        <f t="shared" si="150"/>
        <v>2.9185676245310073</v>
      </c>
      <c r="AE72" s="205">
        <f t="shared" si="150"/>
        <v>3.1134273898872391</v>
      </c>
      <c r="AF72" s="205">
        <f t="shared" si="150"/>
        <v>3.0840554333788681</v>
      </c>
      <c r="AG72" s="205">
        <f t="shared" si="150"/>
        <v>3.054960570799822</v>
      </c>
      <c r="AI72" s="156" t="s">
        <v>294</v>
      </c>
      <c r="AK72" s="221">
        <v>0.03</v>
      </c>
    </row>
    <row r="73" spans="2:37" outlineLevel="1" x14ac:dyDescent="0.2">
      <c r="B73" s="168" t="s">
        <v>408</v>
      </c>
      <c r="Y73" s="180">
        <f>Y72/X72-1</f>
        <v>8.8801021551144776E-2</v>
      </c>
      <c r="Z73" s="180">
        <f t="shared" ref="Z73:AB73" si="151">Z72/Y72-1</f>
        <v>0.10138995480515067</v>
      </c>
      <c r="AA73" s="180">
        <f t="shared" si="151"/>
        <v>0.2846777468565187</v>
      </c>
      <c r="AB73" s="180">
        <f t="shared" si="151"/>
        <v>-3.3486581879760169E-2</v>
      </c>
      <c r="AC73" s="180">
        <f t="shared" ref="AC73" si="152">AC72/AB72-1</f>
        <v>7.3801254894481971E-2</v>
      </c>
      <c r="AD73" s="180">
        <f t="shared" ref="AD73" si="153">AD72/AC72-1</f>
        <v>6.7048779121379187E-3</v>
      </c>
      <c r="AE73" s="180">
        <f t="shared" ref="AE73" si="154">AE72/AD72-1</f>
        <v>6.6765547496109301E-2</v>
      </c>
      <c r="AF73" s="180">
        <f t="shared" ref="AF73" si="155">AF72/AE72-1</f>
        <v>-9.4339622641511633E-3</v>
      </c>
      <c r="AG73" s="180">
        <f t="shared" ref="AG73" si="156">AG72/AF72-1</f>
        <v>-9.4339622641510523E-3</v>
      </c>
      <c r="AI73" s="156" t="s">
        <v>491</v>
      </c>
      <c r="AK73" s="197">
        <f>AVERAGE(Y73:Z73)</f>
        <v>9.5095488178147725E-2</v>
      </c>
    </row>
    <row r="74" spans="2:37" outlineLevel="1" x14ac:dyDescent="0.2">
      <c r="B74" s="168" t="s">
        <v>327</v>
      </c>
      <c r="C74" s="205">
        <f>C61/C36</f>
        <v>0.9458333333333333</v>
      </c>
      <c r="D74" s="205">
        <f t="shared" ref="D74:AG74" si="157">D61/D36</f>
        <v>0.8904109589041096</v>
      </c>
      <c r="E74" s="205">
        <f t="shared" si="157"/>
        <v>1.1912350597609562</v>
      </c>
      <c r="F74" s="205">
        <f t="shared" si="157"/>
        <v>0.94940476190476186</v>
      </c>
      <c r="G74" s="205">
        <f t="shared" si="157"/>
        <v>1.2095588235294117</v>
      </c>
      <c r="H74" s="205">
        <f t="shared" si="157"/>
        <v>1.1383647798742138</v>
      </c>
      <c r="I74" s="205">
        <f t="shared" si="157"/>
        <v>1.3333333333333333</v>
      </c>
      <c r="J74" s="205">
        <f t="shared" si="157"/>
        <v>0.94760820045558092</v>
      </c>
      <c r="K74" s="205">
        <f t="shared" si="157"/>
        <v>1.464406779661017</v>
      </c>
      <c r="L74" s="205">
        <f t="shared" si="157"/>
        <v>1.2054054054054053</v>
      </c>
      <c r="M74" s="205">
        <f t="shared" si="157"/>
        <v>1.3765432098765431</v>
      </c>
      <c r="N74" s="205">
        <f t="shared" si="157"/>
        <v>0.95564516129032262</v>
      </c>
      <c r="O74" s="205">
        <f t="shared" si="157"/>
        <v>1.8707224334600761</v>
      </c>
      <c r="P74" s="205">
        <f t="shared" si="157"/>
        <v>1.6</v>
      </c>
      <c r="Q74" s="205">
        <f t="shared" si="157"/>
        <v>1.5798816568047338</v>
      </c>
      <c r="R74" s="205">
        <f t="shared" si="157"/>
        <v>1.2167410248215618</v>
      </c>
      <c r="S74" s="205">
        <f t="shared" si="157"/>
        <v>1.6825935724083871</v>
      </c>
      <c r="T74" s="205">
        <f t="shared" si="157"/>
        <v>1.6248044136933024</v>
      </c>
      <c r="U74" s="205">
        <f t="shared" si="157"/>
        <v>1.67922203765227</v>
      </c>
      <c r="V74" s="205">
        <f t="shared" si="157"/>
        <v>1.5110508338356441</v>
      </c>
      <c r="X74" s="205">
        <f t="shared" si="157"/>
        <v>0.98748882931188564</v>
      </c>
      <c r="Y74" s="205">
        <f t="shared" si="157"/>
        <v>1.1325757575757576</v>
      </c>
      <c r="Z74" s="205">
        <f t="shared" si="157"/>
        <v>1.2107744107744107</v>
      </c>
      <c r="AA74" s="205">
        <f t="shared" si="157"/>
        <v>1.5224116386757895</v>
      </c>
      <c r="AB74" s="205">
        <f t="shared" si="157"/>
        <v>1.4905257407014807</v>
      </c>
      <c r="AC74" s="205">
        <f t="shared" si="157"/>
        <v>1.6149163620938367</v>
      </c>
      <c r="AD74" s="205">
        <f t="shared" si="157"/>
        <v>1.6220726313106593</v>
      </c>
      <c r="AE74" s="205">
        <f t="shared" si="157"/>
        <v>1.7713647738196368</v>
      </c>
      <c r="AF74" s="205">
        <f t="shared" si="157"/>
        <v>1.7546537853873758</v>
      </c>
      <c r="AG74" s="205">
        <f t="shared" si="157"/>
        <v>1.7381004477893816</v>
      </c>
      <c r="AK74" s="221"/>
    </row>
    <row r="75" spans="2:37" outlineLevel="1" x14ac:dyDescent="0.2">
      <c r="C75" s="169"/>
      <c r="D75" s="169"/>
      <c r="E75" s="169"/>
      <c r="F75" s="169"/>
      <c r="G75" s="169"/>
      <c r="H75" s="169"/>
      <c r="I75" s="169"/>
      <c r="J75" s="169"/>
      <c r="K75" s="169"/>
      <c r="L75" s="169"/>
      <c r="M75" s="169"/>
      <c r="N75" s="158"/>
      <c r="O75" s="169"/>
      <c r="P75" s="169"/>
      <c r="Q75" s="169"/>
    </row>
    <row r="76" spans="2:37" outlineLevel="1" x14ac:dyDescent="0.2">
      <c r="B76" s="156" t="s">
        <v>2</v>
      </c>
      <c r="C76" s="169"/>
      <c r="D76" s="169"/>
      <c r="E76" s="169"/>
      <c r="F76" s="169"/>
      <c r="G76" s="169"/>
      <c r="H76" s="169"/>
      <c r="I76" s="169"/>
      <c r="J76" s="169"/>
      <c r="K76" s="169"/>
      <c r="L76" s="169"/>
      <c r="M76" s="169"/>
      <c r="N76" s="169"/>
      <c r="O76" s="169"/>
      <c r="P76" s="169"/>
      <c r="Q76" s="169"/>
    </row>
    <row r="77" spans="2:37" outlineLevel="1" x14ac:dyDescent="0.2">
      <c r="B77" s="157" t="s">
        <v>5</v>
      </c>
      <c r="C77" s="182">
        <v>151</v>
      </c>
      <c r="D77" s="182">
        <v>121</v>
      </c>
      <c r="E77" s="182">
        <v>130</v>
      </c>
      <c r="F77" s="182">
        <v>121</v>
      </c>
      <c r="G77" s="182">
        <v>137</v>
      </c>
      <c r="H77" s="182">
        <v>123</v>
      </c>
      <c r="I77" s="182">
        <v>124</v>
      </c>
      <c r="J77" s="182">
        <v>142</v>
      </c>
      <c r="K77" s="182">
        <v>163</v>
      </c>
      <c r="L77" s="182">
        <v>174</v>
      </c>
      <c r="M77" s="182">
        <v>165</v>
      </c>
      <c r="N77" s="182">
        <v>168</v>
      </c>
      <c r="O77" s="182">
        <v>185</v>
      </c>
      <c r="P77" s="182">
        <v>192</v>
      </c>
      <c r="Q77" s="182">
        <v>189</v>
      </c>
      <c r="R77" s="182">
        <f>N77*(1+R78)</f>
        <v>192.49800000000005</v>
      </c>
      <c r="S77" s="182">
        <f t="shared" ref="S77" si="158">O77*(1+S78)</f>
        <v>192.95000000000002</v>
      </c>
      <c r="T77" s="182">
        <f t="shared" ref="T77" si="159">P77*(1+T78)</f>
        <v>201.85000000000002</v>
      </c>
      <c r="U77" s="182">
        <f t="shared" ref="U77" si="160">Q77*(1+U78)</f>
        <v>204.45000000000002</v>
      </c>
      <c r="V77" s="182">
        <f t="shared" ref="V77" si="161">R77*(1+V78)</f>
        <v>211.25000000000006</v>
      </c>
      <c r="X77" s="182">
        <f>SUM(C77:F77)</f>
        <v>523</v>
      </c>
      <c r="Y77" s="182">
        <f>SUM(G77:J77)</f>
        <v>526</v>
      </c>
      <c r="Z77" s="182">
        <f>SUM(K77:N77)</f>
        <v>670</v>
      </c>
      <c r="AA77" s="182">
        <f>SUM(O77:R77)</f>
        <v>758.49800000000005</v>
      </c>
      <c r="AB77" s="182">
        <f>SUM(S77:V77)</f>
        <v>810.50000000000023</v>
      </c>
      <c r="AC77" s="182">
        <f>AB77*(1+AC78)</f>
        <v>930.8280000000002</v>
      </c>
      <c r="AD77" s="182">
        <f t="shared" ref="AD77" si="162">AC77*(1+AD78)</f>
        <v>991.05000000000007</v>
      </c>
      <c r="AE77" s="182">
        <f t="shared" ref="AE77" si="163">AD77*(1+AE78)</f>
        <v>1147.2</v>
      </c>
      <c r="AF77" s="182">
        <f t="shared" ref="AF77" si="164">AE77*(1+AF78)</f>
        <v>1204.5600000000002</v>
      </c>
      <c r="AG77" s="182">
        <f t="shared" ref="AG77" si="165">AF77*(1+AG78)</f>
        <v>1264.7880000000002</v>
      </c>
    </row>
    <row r="78" spans="2:37" outlineLevel="1" x14ac:dyDescent="0.2">
      <c r="B78" s="168" t="s">
        <v>199</v>
      </c>
      <c r="C78" s="169"/>
      <c r="D78" s="169"/>
      <c r="E78" s="169"/>
      <c r="F78" s="169"/>
      <c r="G78" s="342">
        <f t="shared" ref="G78" si="166">IFERROR(G77/C77-1,0)</f>
        <v>-9.27152317880795E-2</v>
      </c>
      <c r="H78" s="342">
        <f t="shared" ref="H78" si="167">IFERROR(H77/D77-1,0)</f>
        <v>1.6528925619834656E-2</v>
      </c>
      <c r="I78" s="342">
        <f t="shared" ref="I78" si="168">IFERROR(I77/E77-1,0)</f>
        <v>-4.6153846153846101E-2</v>
      </c>
      <c r="J78" s="342">
        <f t="shared" ref="J78" si="169">IFERROR(J77/F77-1,0)</f>
        <v>0.17355371900826455</v>
      </c>
      <c r="K78" s="342">
        <f t="shared" ref="K78" si="170">IFERROR(K77/G77-1,0)</f>
        <v>0.18978102189781021</v>
      </c>
      <c r="L78" s="342">
        <f t="shared" ref="L78" si="171">IFERROR(L77/H77-1,0)</f>
        <v>0.41463414634146334</v>
      </c>
      <c r="M78" s="342">
        <f t="shared" ref="M78" si="172">IFERROR(M77/I77-1,0)</f>
        <v>0.33064516129032251</v>
      </c>
      <c r="N78" s="342">
        <f t="shared" ref="N78" si="173">IFERROR(N77/J77-1,0)</f>
        <v>0.18309859154929575</v>
      </c>
      <c r="O78" s="342">
        <f>IFERROR(O77/K77-1,0)</f>
        <v>0.13496932515337434</v>
      </c>
      <c r="P78" s="342">
        <f t="shared" ref="P78" si="174">IFERROR(P77/L77-1,0)</f>
        <v>0.10344827586206895</v>
      </c>
      <c r="Q78" s="342">
        <f t="shared" ref="Q78" si="175">IFERROR(Q77/M77-1,0)</f>
        <v>0.1454545454545455</v>
      </c>
      <c r="R78" s="396">
        <f>'vs. Consensus'!G105</f>
        <v>0.14582142857142877</v>
      </c>
      <c r="S78" s="396">
        <f>'vs. Consensus'!H105</f>
        <v>4.2972972972973089E-2</v>
      </c>
      <c r="T78" s="396">
        <f>'vs. Consensus'!I105</f>
        <v>5.1302083333333526E-2</v>
      </c>
      <c r="U78" s="396">
        <f>'vs. Consensus'!J105</f>
        <v>8.17460317460319E-2</v>
      </c>
      <c r="V78" s="396">
        <f>'vs. Consensus'!K105</f>
        <v>9.7413999106484184E-2</v>
      </c>
      <c r="W78" s="357"/>
      <c r="X78" s="357"/>
      <c r="Y78" s="342">
        <f>IFERROR(Y77/X77-1,0)</f>
        <v>5.7361376673039643E-3</v>
      </c>
      <c r="Z78" s="342">
        <f>IFERROR(Z77/Y77-1,0)</f>
        <v>0.27376425855513298</v>
      </c>
      <c r="AA78" s="342">
        <f>IFERROR(AA77/Z77-1,0)</f>
        <v>0.1320865671641791</v>
      </c>
      <c r="AB78" s="342">
        <f>IFERROR(AB77/AA77-1,0)</f>
        <v>6.8559178798098586E-2</v>
      </c>
      <c r="AC78" s="396">
        <f>'vs. Consensus'!T105</f>
        <v>0.14846144355336199</v>
      </c>
      <c r="AD78" s="396">
        <f>'vs. Consensus'!U105</f>
        <v>6.4697237298405152E-2</v>
      </c>
      <c r="AE78" s="396">
        <f>'vs. Consensus'!V105</f>
        <v>0.15756016346299373</v>
      </c>
      <c r="AF78" s="396">
        <v>0.05</v>
      </c>
      <c r="AG78" s="396">
        <v>0.05</v>
      </c>
    </row>
    <row r="79" spans="2:37" outlineLevel="1" x14ac:dyDescent="0.2">
      <c r="B79" s="157" t="s">
        <v>6</v>
      </c>
      <c r="C79" s="182">
        <v>42</v>
      </c>
      <c r="D79" s="182">
        <v>41</v>
      </c>
      <c r="E79" s="182">
        <v>37</v>
      </c>
      <c r="F79" s="182">
        <v>38</v>
      </c>
      <c r="G79" s="182">
        <v>32</v>
      </c>
      <c r="H79" s="182">
        <v>37</v>
      </c>
      <c r="I79" s="182">
        <v>43</v>
      </c>
      <c r="J79" s="182">
        <v>46</v>
      </c>
      <c r="K79" s="182">
        <v>44</v>
      </c>
      <c r="L79" s="182">
        <v>46</v>
      </c>
      <c r="M79" s="182">
        <v>41</v>
      </c>
      <c r="N79" s="182">
        <v>42</v>
      </c>
      <c r="O79" s="182">
        <v>39</v>
      </c>
      <c r="P79" s="182">
        <v>37</v>
      </c>
      <c r="Q79" s="182">
        <v>43</v>
      </c>
      <c r="R79" s="182">
        <f>N79*(1+R80)</f>
        <v>42.938571428571429</v>
      </c>
      <c r="S79" s="182">
        <f t="shared" ref="S79" si="176">O79*(1+S80)</f>
        <v>44.892219387755098</v>
      </c>
      <c r="T79" s="182">
        <f t="shared" ref="T79" si="177">P79*(1+T80)</f>
        <v>45.769770408163261</v>
      </c>
      <c r="U79" s="182">
        <f t="shared" ref="U79" si="178">Q79*(1+U80)</f>
        <v>45.797193877551017</v>
      </c>
      <c r="V79" s="182">
        <f t="shared" ref="V79" si="179">R79*(1+V80)</f>
        <v>47.168367346938773</v>
      </c>
      <c r="X79" s="182">
        <f>SUM(C79:F79)</f>
        <v>158</v>
      </c>
      <c r="Y79" s="182">
        <f>SUM(G79:J79)</f>
        <v>158</v>
      </c>
      <c r="Z79" s="182">
        <f>SUM(K79:N79)</f>
        <v>173</v>
      </c>
      <c r="AA79" s="182">
        <f>SUM(O79:R79)</f>
        <v>161.93857142857144</v>
      </c>
      <c r="AB79" s="182">
        <f>SUM(S79:V79)</f>
        <v>183.62755102040813</v>
      </c>
      <c r="AC79" s="182">
        <f>AB79*(1+AC80)</f>
        <v>206.97698979591831</v>
      </c>
      <c r="AD79" s="182">
        <f t="shared" ref="AD79" si="180">AC79*(1+AD80)</f>
        <v>222.18494897959181</v>
      </c>
      <c r="AE79" s="182">
        <f t="shared" ref="AE79" si="181">AD79*(1+AE80)</f>
        <v>243.63010204081627</v>
      </c>
      <c r="AF79" s="182">
        <f t="shared" ref="AF79" si="182">AE79*(1+AF80)</f>
        <v>255.8116071428571</v>
      </c>
      <c r="AG79" s="182">
        <f t="shared" ref="AG79" si="183">AF79*(1+AG80)</f>
        <v>268.60218749999996</v>
      </c>
    </row>
    <row r="80" spans="2:37" outlineLevel="1" x14ac:dyDescent="0.2">
      <c r="B80" s="168" t="s">
        <v>199</v>
      </c>
      <c r="C80" s="169"/>
      <c r="D80" s="169"/>
      <c r="E80" s="169"/>
      <c r="F80" s="169"/>
      <c r="G80" s="342">
        <f t="shared" ref="G80" si="184">IFERROR(G79/C79-1,0)</f>
        <v>-0.23809523809523814</v>
      </c>
      <c r="H80" s="342">
        <f t="shared" ref="H80" si="185">IFERROR(H79/D79-1,0)</f>
        <v>-9.7560975609756073E-2</v>
      </c>
      <c r="I80" s="342">
        <f t="shared" ref="I80" si="186">IFERROR(I79/E79-1,0)</f>
        <v>0.16216216216216206</v>
      </c>
      <c r="J80" s="342">
        <f t="shared" ref="J80" si="187">IFERROR(J79/F79-1,0)</f>
        <v>0.21052631578947367</v>
      </c>
      <c r="K80" s="342">
        <f t="shared" ref="K80" si="188">IFERROR(K79/G79-1,0)</f>
        <v>0.375</v>
      </c>
      <c r="L80" s="342">
        <f t="shared" ref="L80" si="189">IFERROR(L79/H79-1,0)</f>
        <v>0.2432432432432432</v>
      </c>
      <c r="M80" s="342">
        <f t="shared" ref="M80" si="190">IFERROR(M79/I79-1,0)</f>
        <v>-4.6511627906976716E-2</v>
      </c>
      <c r="N80" s="342">
        <f t="shared" ref="N80" si="191">IFERROR(N79/J79-1,0)</f>
        <v>-8.6956521739130488E-2</v>
      </c>
      <c r="O80" s="342">
        <f>IFERROR(O79/K79-1,0)</f>
        <v>-0.11363636363636365</v>
      </c>
      <c r="P80" s="342">
        <f t="shared" ref="P80" si="192">IFERROR(P79/L79-1,0)</f>
        <v>-0.19565217391304346</v>
      </c>
      <c r="Q80" s="342">
        <f t="shared" ref="Q80" si="193">IFERROR(Q79/M79-1,0)</f>
        <v>4.8780487804878092E-2</v>
      </c>
      <c r="R80" s="396">
        <f>'vs. Consensus'!G106</f>
        <v>2.2346938775510194E-2</v>
      </c>
      <c r="S80" s="396">
        <f>'vs. Consensus'!H106</f>
        <v>0.15108254840397684</v>
      </c>
      <c r="T80" s="396">
        <f>'vs. Consensus'!I106</f>
        <v>0.23702082184225026</v>
      </c>
      <c r="U80" s="396">
        <f>'vs. Consensus'!J106</f>
        <v>6.5051020408163129E-2</v>
      </c>
      <c r="V80" s="396">
        <f>'vs. Consensus'!K106</f>
        <v>9.8508072756999798E-2</v>
      </c>
      <c r="W80" s="357"/>
      <c r="X80" s="357"/>
      <c r="Y80" s="342">
        <f>IFERROR(Y79/X79-1,0)</f>
        <v>0</v>
      </c>
      <c r="Z80" s="342">
        <f>IFERROR(Z79/Y79-1,0)</f>
        <v>9.4936708860759556E-2</v>
      </c>
      <c r="AA80" s="342">
        <f>IFERROR(AA79/Z79-1,0)</f>
        <v>-6.3938893476465641E-2</v>
      </c>
      <c r="AB80" s="342">
        <f>IFERROR(AB79/AA79-1,0)</f>
        <v>0.1339333760975121</v>
      </c>
      <c r="AC80" s="396">
        <f>'vs. Consensus'!T106</f>
        <v>0.12715651135005968</v>
      </c>
      <c r="AD80" s="396">
        <f>'vs. Consensus'!U106</f>
        <v>7.3476569538810654E-2</v>
      </c>
      <c r="AE80" s="396">
        <f>'vs. Consensus'!V106</f>
        <v>9.6519377931374883E-2</v>
      </c>
      <c r="AF80" s="396">
        <v>0.05</v>
      </c>
      <c r="AG80" s="396">
        <v>0.05</v>
      </c>
    </row>
    <row r="81" spans="2:35" outlineLevel="1" x14ac:dyDescent="0.2">
      <c r="B81" s="157" t="s">
        <v>7</v>
      </c>
      <c r="C81" s="182">
        <v>77</v>
      </c>
      <c r="D81" s="182">
        <v>64</v>
      </c>
      <c r="E81" s="182">
        <v>65</v>
      </c>
      <c r="F81" s="182">
        <v>64</v>
      </c>
      <c r="G81" s="182">
        <v>57</v>
      </c>
      <c r="H81" s="182">
        <v>63</v>
      </c>
      <c r="I81" s="182">
        <v>56</v>
      </c>
      <c r="J81" s="182">
        <v>63</v>
      </c>
      <c r="K81" s="182">
        <v>44</v>
      </c>
      <c r="L81" s="182">
        <v>42</v>
      </c>
      <c r="M81" s="182">
        <v>45</v>
      </c>
      <c r="N81" s="182">
        <v>41</v>
      </c>
      <c r="O81" s="182">
        <v>56</v>
      </c>
      <c r="P81" s="182">
        <v>61</v>
      </c>
      <c r="Q81" s="182">
        <v>57</v>
      </c>
      <c r="R81" s="182">
        <f>N81*(1+R82)</f>
        <v>59.739604743083014</v>
      </c>
      <c r="S81" s="182">
        <f t="shared" ref="S81" si="194">O81*(1+S82)</f>
        <v>60.830039525691703</v>
      </c>
      <c r="T81" s="182">
        <f t="shared" ref="T81" si="195">P81*(1+T82)</f>
        <v>63.420948616600796</v>
      </c>
      <c r="U81" s="182">
        <f t="shared" ref="U81" si="196">Q81*(1+U82)</f>
        <v>62.519762845849812</v>
      </c>
      <c r="V81" s="182">
        <f t="shared" ref="V81" si="197">R81*(1+V82)</f>
        <v>66.068181818181813</v>
      </c>
      <c r="X81" s="182">
        <f>SUM(C81:F81)</f>
        <v>270</v>
      </c>
      <c r="Y81" s="182">
        <f>SUM(G81:J81)</f>
        <v>239</v>
      </c>
      <c r="Z81" s="182">
        <f>SUM(K81:N81)</f>
        <v>172</v>
      </c>
      <c r="AA81" s="182">
        <f>SUM(O81:R81)</f>
        <v>233.73960474308302</v>
      </c>
      <c r="AB81" s="182">
        <f>SUM(S81:V81)</f>
        <v>252.83893280632412</v>
      </c>
      <c r="AC81" s="182">
        <f>AB81*(1+AC82)</f>
        <v>284.098814229249</v>
      </c>
      <c r="AD81" s="182">
        <f t="shared" ref="AD81" si="198">AC81*(1+AD82)</f>
        <v>302.798418972332</v>
      </c>
      <c r="AE81" s="182">
        <f t="shared" ref="AE81" si="199">AD81*(1+AE82)</f>
        <v>332.53754940711462</v>
      </c>
      <c r="AF81" s="182">
        <f t="shared" ref="AF81" si="200">AE81*(1+AF82)</f>
        <v>349.16442687747036</v>
      </c>
      <c r="AG81" s="182">
        <f t="shared" ref="AG81" si="201">AF81*(1+AG82)</f>
        <v>366.62264822134392</v>
      </c>
    </row>
    <row r="82" spans="2:35" outlineLevel="1" x14ac:dyDescent="0.2">
      <c r="B82" s="168" t="s">
        <v>199</v>
      </c>
      <c r="C82" s="169"/>
      <c r="D82" s="169"/>
      <c r="E82" s="169"/>
      <c r="F82" s="169"/>
      <c r="G82" s="342">
        <f t="shared" ref="G82" si="202">IFERROR(G81/C81-1,0)</f>
        <v>-0.25974025974025972</v>
      </c>
      <c r="H82" s="342">
        <f t="shared" ref="H82" si="203">IFERROR(H81/D81-1,0)</f>
        <v>-1.5625E-2</v>
      </c>
      <c r="I82" s="342">
        <f t="shared" ref="I82" si="204">IFERROR(I81/E81-1,0)</f>
        <v>-0.13846153846153841</v>
      </c>
      <c r="J82" s="342">
        <f t="shared" ref="J82" si="205">IFERROR(J81/F81-1,0)</f>
        <v>-1.5625E-2</v>
      </c>
      <c r="K82" s="342">
        <f t="shared" ref="K82" si="206">IFERROR(K81/G81-1,0)</f>
        <v>-0.22807017543859653</v>
      </c>
      <c r="L82" s="342">
        <f t="shared" ref="L82" si="207">IFERROR(L81/H81-1,0)</f>
        <v>-0.33333333333333337</v>
      </c>
      <c r="M82" s="342">
        <f t="shared" ref="M82" si="208">IFERROR(M81/I81-1,0)</f>
        <v>-0.1964285714285714</v>
      </c>
      <c r="N82" s="342">
        <f t="shared" ref="N82" si="209">IFERROR(N81/J81-1,0)</f>
        <v>-0.34920634920634919</v>
      </c>
      <c r="O82" s="342">
        <f>IFERROR(O81/K81-1,0)</f>
        <v>0.27272727272727271</v>
      </c>
      <c r="P82" s="342">
        <f t="shared" ref="P82" si="210">IFERROR(P81/L81-1,0)</f>
        <v>0.45238095238095233</v>
      </c>
      <c r="Q82" s="342">
        <f t="shared" ref="Q82" si="211">IFERROR(Q81/M81-1,0)</f>
        <v>0.26666666666666661</v>
      </c>
      <c r="R82" s="396">
        <f>'vs. Consensus'!G107</f>
        <v>0.45706353031909797</v>
      </c>
      <c r="S82" s="396">
        <f>'vs. Consensus'!H107</f>
        <v>8.6250705815923201E-2</v>
      </c>
      <c r="T82" s="396">
        <f>'vs. Consensus'!I107</f>
        <v>3.9687682239357258E-2</v>
      </c>
      <c r="U82" s="396">
        <f>'vs. Consensus'!J107</f>
        <v>9.6837944664031728E-2</v>
      </c>
      <c r="V82" s="396">
        <f>'vs. Consensus'!K107</f>
        <v>0.10593603861819245</v>
      </c>
      <c r="W82" s="357"/>
      <c r="X82" s="357"/>
      <c r="Y82" s="342">
        <f>IFERROR(Y81/X81-1,0)</f>
        <v>-0.11481481481481481</v>
      </c>
      <c r="Z82" s="342">
        <f>IFERROR(Z81/Y81-1,0)</f>
        <v>-0.28033472803347281</v>
      </c>
      <c r="AA82" s="342">
        <f>IFERROR(AA81/Z81-1,0)</f>
        <v>0.35895119036676171</v>
      </c>
      <c r="AB82" s="342">
        <f>IFERROR(AB81/AA81-1,0)</f>
        <v>8.171198922080114E-2</v>
      </c>
      <c r="AC82" s="396">
        <f>'vs. Consensus'!T107</f>
        <v>0.12363555357540634</v>
      </c>
      <c r="AD82" s="396">
        <f>'vs. Consensus'!U107</f>
        <v>6.5820777160983335E-2</v>
      </c>
      <c r="AE82" s="396">
        <f>'vs. Consensus'!V107</f>
        <v>9.8214285714285809E-2</v>
      </c>
      <c r="AF82" s="396">
        <v>0.05</v>
      </c>
      <c r="AG82" s="396">
        <v>0.05</v>
      </c>
    </row>
    <row r="83" spans="2:35" outlineLevel="1" x14ac:dyDescent="0.2">
      <c r="B83" s="157" t="s">
        <v>8</v>
      </c>
      <c r="C83" s="182">
        <v>0</v>
      </c>
      <c r="D83" s="182">
        <v>0</v>
      </c>
      <c r="E83" s="182">
        <v>0</v>
      </c>
      <c r="F83" s="182">
        <v>0</v>
      </c>
      <c r="G83" s="182">
        <v>0</v>
      </c>
      <c r="H83" s="182">
        <v>0</v>
      </c>
      <c r="I83" s="182">
        <v>0</v>
      </c>
      <c r="J83" s="182">
        <v>0</v>
      </c>
      <c r="K83" s="182">
        <v>0</v>
      </c>
      <c r="L83" s="182">
        <v>0</v>
      </c>
      <c r="M83" s="182">
        <v>0</v>
      </c>
      <c r="N83" s="182">
        <v>0</v>
      </c>
      <c r="O83" s="182">
        <v>0</v>
      </c>
      <c r="P83" s="182">
        <v>0</v>
      </c>
      <c r="Q83" s="182">
        <v>0</v>
      </c>
      <c r="R83" s="182">
        <f>N83*(1+R84)</f>
        <v>0</v>
      </c>
      <c r="S83" s="182">
        <f t="shared" ref="S83" si="212">O83*(1+S84)</f>
        <v>0</v>
      </c>
      <c r="T83" s="182">
        <f t="shared" ref="T83" si="213">P83*(1+T84)</f>
        <v>0</v>
      </c>
      <c r="U83" s="182">
        <f t="shared" ref="U83" si="214">Q83*(1+U84)</f>
        <v>0</v>
      </c>
      <c r="V83" s="182">
        <f t="shared" ref="V83" si="215">R83*(1+V84)</f>
        <v>0</v>
      </c>
      <c r="X83" s="182">
        <f>SUM(C83:F83)</f>
        <v>0</v>
      </c>
      <c r="Y83" s="182">
        <f>SUM(G83:J83)</f>
        <v>0</v>
      </c>
      <c r="Z83" s="182">
        <f>SUM(K83:N83)</f>
        <v>0</v>
      </c>
      <c r="AA83" s="182">
        <f>SUM(O83:R83)</f>
        <v>0</v>
      </c>
      <c r="AB83" s="182">
        <f>SUM(S83:V83)</f>
        <v>0</v>
      </c>
      <c r="AC83" s="182">
        <v>0</v>
      </c>
      <c r="AD83" s="182">
        <v>0</v>
      </c>
      <c r="AE83" s="182">
        <v>0</v>
      </c>
      <c r="AF83" s="182">
        <v>0</v>
      </c>
      <c r="AG83" s="182">
        <v>0</v>
      </c>
    </row>
    <row r="84" spans="2:35" outlineLevel="1" x14ac:dyDescent="0.2">
      <c r="B84" s="168" t="s">
        <v>199</v>
      </c>
      <c r="C84" s="169"/>
      <c r="D84" s="169"/>
      <c r="E84" s="169"/>
      <c r="F84" s="169"/>
      <c r="G84" s="342">
        <f t="shared" ref="G84" si="216">IFERROR(G83/C83-1,0)</f>
        <v>0</v>
      </c>
      <c r="H84" s="342">
        <f t="shared" ref="H84" si="217">IFERROR(H83/D83-1,0)</f>
        <v>0</v>
      </c>
      <c r="I84" s="342">
        <f t="shared" ref="I84" si="218">IFERROR(I83/E83-1,0)</f>
        <v>0</v>
      </c>
      <c r="J84" s="342">
        <f t="shared" ref="J84" si="219">IFERROR(J83/F83-1,0)</f>
        <v>0</v>
      </c>
      <c r="K84" s="342">
        <f t="shared" ref="K84" si="220">IFERROR(K83/G83-1,0)</f>
        <v>0</v>
      </c>
      <c r="L84" s="342">
        <f t="shared" ref="L84" si="221">IFERROR(L83/H83-1,0)</f>
        <v>0</v>
      </c>
      <c r="M84" s="342">
        <f t="shared" ref="M84" si="222">IFERROR(M83/I83-1,0)</f>
        <v>0</v>
      </c>
      <c r="N84" s="342">
        <f t="shared" ref="N84" si="223">IFERROR(N83/J83-1,0)</f>
        <v>0</v>
      </c>
      <c r="O84" s="342">
        <f>IFERROR(O83/K83-1,0)</f>
        <v>0</v>
      </c>
      <c r="P84" s="342">
        <f t="shared" ref="P84" si="224">IFERROR(P83/L83-1,0)</f>
        <v>0</v>
      </c>
      <c r="Q84" s="342">
        <f t="shared" ref="Q84" si="225">IFERROR(Q83/M83-1,0)</f>
        <v>0</v>
      </c>
      <c r="R84" s="396"/>
      <c r="S84" s="396"/>
      <c r="T84" s="396"/>
      <c r="U84" s="396"/>
      <c r="V84" s="396"/>
      <c r="W84" s="357"/>
      <c r="X84" s="357"/>
      <c r="Y84" s="342">
        <f>IFERROR(Y83/X83-1,0)</f>
        <v>0</v>
      </c>
      <c r="Z84" s="342">
        <f>IFERROR(Z83/Y83-1,0)</f>
        <v>0</v>
      </c>
      <c r="AA84" s="342">
        <f>IFERROR(AA83/Z83-1,0)</f>
        <v>0</v>
      </c>
      <c r="AB84" s="342">
        <f>IFERROR(AB83/AA83-1,0)</f>
        <v>0</v>
      </c>
      <c r="AC84" s="342"/>
      <c r="AD84" s="342"/>
      <c r="AE84" s="342"/>
      <c r="AF84" s="342"/>
      <c r="AG84" s="342"/>
    </row>
    <row r="85" spans="2:35" ht="15" outlineLevel="1" x14ac:dyDescent="0.25">
      <c r="B85" s="166" t="s">
        <v>194</v>
      </c>
      <c r="C85" s="170">
        <f t="shared" ref="C85:K85" si="226">SUM(C77,C79,C81,C83)</f>
        <v>270</v>
      </c>
      <c r="D85" s="170">
        <f t="shared" si="226"/>
        <v>226</v>
      </c>
      <c r="E85" s="170">
        <f t="shared" si="226"/>
        <v>232</v>
      </c>
      <c r="F85" s="170">
        <f t="shared" si="226"/>
        <v>223</v>
      </c>
      <c r="G85" s="170">
        <f t="shared" si="226"/>
        <v>226</v>
      </c>
      <c r="H85" s="170">
        <f t="shared" si="226"/>
        <v>223</v>
      </c>
      <c r="I85" s="170">
        <f t="shared" si="226"/>
        <v>223</v>
      </c>
      <c r="J85" s="170">
        <f t="shared" si="226"/>
        <v>251</v>
      </c>
      <c r="K85" s="170">
        <f t="shared" si="226"/>
        <v>251</v>
      </c>
      <c r="L85" s="170">
        <f t="shared" ref="L85:V85" si="227">SUM(L77,L79,L81,L83)</f>
        <v>262</v>
      </c>
      <c r="M85" s="170">
        <f t="shared" si="227"/>
        <v>251</v>
      </c>
      <c r="N85" s="170">
        <f t="shared" si="227"/>
        <v>251</v>
      </c>
      <c r="O85" s="170">
        <f t="shared" si="227"/>
        <v>280</v>
      </c>
      <c r="P85" s="170">
        <f t="shared" si="227"/>
        <v>290</v>
      </c>
      <c r="Q85" s="170">
        <f t="shared" si="227"/>
        <v>289</v>
      </c>
      <c r="R85" s="170">
        <f t="shared" si="227"/>
        <v>295.1761761716545</v>
      </c>
      <c r="S85" s="170">
        <f t="shared" si="227"/>
        <v>298.6722589134468</v>
      </c>
      <c r="T85" s="170">
        <f t="shared" si="227"/>
        <v>311.04071902476409</v>
      </c>
      <c r="U85" s="170">
        <f t="shared" si="227"/>
        <v>312.76695672340088</v>
      </c>
      <c r="V85" s="170">
        <f t="shared" si="227"/>
        <v>324.48654916512066</v>
      </c>
      <c r="X85" s="170">
        <f t="shared" ref="X85:AG85" si="228">SUM(X77,X79,X81,X83)</f>
        <v>951</v>
      </c>
      <c r="Y85" s="170">
        <f t="shared" si="228"/>
        <v>923</v>
      </c>
      <c r="Z85" s="170">
        <f t="shared" si="228"/>
        <v>1015</v>
      </c>
      <c r="AA85" s="170">
        <f t="shared" si="228"/>
        <v>1154.1761761716546</v>
      </c>
      <c r="AB85" s="170">
        <f t="shared" si="228"/>
        <v>1246.9664838267327</v>
      </c>
      <c r="AC85" s="170">
        <f t="shared" si="228"/>
        <v>1421.9038040251676</v>
      </c>
      <c r="AD85" s="170">
        <f t="shared" si="228"/>
        <v>1516.033367951924</v>
      </c>
      <c r="AE85" s="170">
        <f t="shared" si="228"/>
        <v>1723.3676514479307</v>
      </c>
      <c r="AF85" s="170">
        <f t="shared" si="228"/>
        <v>1809.5360340203276</v>
      </c>
      <c r="AG85" s="170">
        <f t="shared" si="228"/>
        <v>1900.0128357213441</v>
      </c>
      <c r="AI85" s="197">
        <f>RATE(7,,-Z85,AG85)</f>
        <v>9.3701082105029851E-2</v>
      </c>
    </row>
    <row r="86" spans="2:35" outlineLevel="1" x14ac:dyDescent="0.2">
      <c r="B86" s="168" t="s">
        <v>199</v>
      </c>
      <c r="C86" s="169"/>
      <c r="D86" s="169"/>
      <c r="E86" s="169"/>
      <c r="F86" s="169"/>
      <c r="G86" s="169"/>
      <c r="H86" s="169"/>
      <c r="I86" s="169"/>
      <c r="J86" s="169"/>
      <c r="K86" s="169"/>
      <c r="L86" s="169"/>
      <c r="M86" s="169"/>
      <c r="N86" s="169"/>
      <c r="O86" s="169"/>
      <c r="P86" s="169"/>
      <c r="Q86" s="169"/>
      <c r="AA86" s="180">
        <f>IFERROR(AA85/Z85-1,0)</f>
        <v>0.1371193853907926</v>
      </c>
      <c r="AB86" s="180">
        <f>IFERROR(AB85/AA85-1,0)</f>
        <v>8.0395272031050791E-2</v>
      </c>
      <c r="AC86" s="180">
        <f t="shared" ref="AC86" si="229">IFERROR(AC85/AB85-1,0)</f>
        <v>0.14029031450916096</v>
      </c>
      <c r="AD86" s="180">
        <f t="shared" ref="AD86" si="230">IFERROR(AD85/AC85-1,0)</f>
        <v>6.6199670934342869E-2</v>
      </c>
      <c r="AE86" s="180">
        <f t="shared" ref="AE86" si="231">IFERROR(AE85/AD85-1,0)</f>
        <v>0.13676102906369647</v>
      </c>
      <c r="AF86" s="180">
        <f t="shared" ref="AF86" si="232">IFERROR(AF85/AE85-1,0)</f>
        <v>5.0000000000000266E-2</v>
      </c>
      <c r="AG86" s="180">
        <f t="shared" ref="AG86" si="233">IFERROR(AG85/AF85-1,0)</f>
        <v>5.0000000000000044E-2</v>
      </c>
    </row>
    <row r="87" spans="2:35" outlineLevel="1" x14ac:dyDescent="0.2">
      <c r="B87" s="168"/>
      <c r="C87" s="169"/>
      <c r="D87" s="169"/>
      <c r="E87" s="169"/>
      <c r="F87" s="169"/>
      <c r="G87" s="169"/>
      <c r="H87" s="169"/>
      <c r="I87" s="169"/>
      <c r="J87" s="169"/>
      <c r="K87" s="169"/>
      <c r="L87" s="169"/>
      <c r="M87" s="169"/>
      <c r="N87" s="169"/>
      <c r="O87" s="169"/>
      <c r="P87" s="169"/>
      <c r="Q87" s="169"/>
    </row>
    <row r="88" spans="2:35" outlineLevel="1" x14ac:dyDescent="0.2">
      <c r="B88" s="168" t="s">
        <v>240</v>
      </c>
      <c r="C88" s="205">
        <f t="shared" ref="C88:V88" si="234">C85/C56</f>
        <v>3.5064935064935066</v>
      </c>
      <c r="D88" s="205">
        <f t="shared" si="234"/>
        <v>2</v>
      </c>
      <c r="E88" s="205">
        <f t="shared" si="234"/>
        <v>2.3434343434343434</v>
      </c>
      <c r="F88" s="205">
        <f t="shared" si="234"/>
        <v>1.4768211920529801</v>
      </c>
      <c r="G88" s="205">
        <f t="shared" si="234"/>
        <v>2.5393258426966292</v>
      </c>
      <c r="H88" s="205">
        <f t="shared" si="234"/>
        <v>2.0090090090090089</v>
      </c>
      <c r="I88" s="205">
        <f t="shared" si="234"/>
        <v>2.5340909090909092</v>
      </c>
      <c r="J88" s="205">
        <f t="shared" si="234"/>
        <v>1.9015151515151516</v>
      </c>
      <c r="K88" s="205">
        <f t="shared" si="234"/>
        <v>4.1833333333333336</v>
      </c>
      <c r="L88" s="205">
        <f t="shared" si="234"/>
        <v>2.6734693877551021</v>
      </c>
      <c r="M88" s="205">
        <f t="shared" si="234"/>
        <v>3.63768115942029</v>
      </c>
      <c r="N88" s="205">
        <f t="shared" si="234"/>
        <v>2.1092436974789917</v>
      </c>
      <c r="O88" s="205">
        <f t="shared" si="234"/>
        <v>7.5675675675675675</v>
      </c>
      <c r="P88" s="205">
        <f t="shared" si="234"/>
        <v>5.5769230769230766</v>
      </c>
      <c r="Q88" s="205">
        <f t="shared" si="234"/>
        <v>2.5130434782608697</v>
      </c>
      <c r="R88" s="205">
        <f t="shared" si="234"/>
        <v>2.6814696236523843</v>
      </c>
      <c r="S88" s="205">
        <f t="shared" si="234"/>
        <v>2.4766677301221849</v>
      </c>
      <c r="T88" s="205">
        <f t="shared" si="234"/>
        <v>3.0674290734086238</v>
      </c>
      <c r="U88" s="205">
        <f t="shared" si="234"/>
        <v>2.7982243265227078</v>
      </c>
      <c r="V88" s="205">
        <f t="shared" si="234"/>
        <v>2.2741826119191066</v>
      </c>
      <c r="X88" s="205">
        <f>X85/X56</f>
        <v>2.3539603960396041</v>
      </c>
      <c r="Y88" s="205">
        <f>Y85/Y56</f>
        <v>2.4289473684210527</v>
      </c>
      <c r="Z88" s="205">
        <f>Z85/Z56</f>
        <v>3.2018927444794953</v>
      </c>
      <c r="AA88" s="205">
        <f t="shared" ref="AA88:AG88" si="235">AA85/AA56</f>
        <v>3.9624285092407807</v>
      </c>
      <c r="AB88" s="205">
        <f t="shared" si="235"/>
        <v>2.6171944808177163</v>
      </c>
      <c r="AC88" s="205">
        <f t="shared" si="235"/>
        <v>2.8100865692196986</v>
      </c>
      <c r="AD88" s="205">
        <f t="shared" si="235"/>
        <v>2.9210662195605472</v>
      </c>
      <c r="AE88" s="205">
        <f t="shared" si="235"/>
        <v>3.2394128786615237</v>
      </c>
      <c r="AF88" s="205">
        <f t="shared" si="235"/>
        <v>3.3141685604767908</v>
      </c>
      <c r="AG88" s="205">
        <f t="shared" si="235"/>
        <v>3.3928800637881147</v>
      </c>
      <c r="AI88" s="197">
        <f>RATE(7,,-Z88,AG88)</f>
        <v>8.311063780491932E-3</v>
      </c>
    </row>
    <row r="89" spans="2:35" outlineLevel="1" x14ac:dyDescent="0.2">
      <c r="B89" s="168" t="s">
        <v>26</v>
      </c>
      <c r="C89" s="248"/>
      <c r="D89" s="248"/>
      <c r="E89" s="248"/>
      <c r="F89" s="248"/>
      <c r="G89" s="342">
        <f t="shared" ref="G89" si="236">IFERROR(G88/C88-1,0)</f>
        <v>-0.27582188930503537</v>
      </c>
      <c r="H89" s="342">
        <f t="shared" ref="H89" si="237">IFERROR(H88/D88-1,0)</f>
        <v>4.5045045045044585E-3</v>
      </c>
      <c r="I89" s="342">
        <f t="shared" ref="I89" si="238">IFERROR(I88/E88-1,0)</f>
        <v>8.1357758620689724E-2</v>
      </c>
      <c r="J89" s="342">
        <f t="shared" ref="J89" si="239">IFERROR(J88/F88-1,0)</f>
        <v>0.28757303981519233</v>
      </c>
      <c r="K89" s="342">
        <f t="shared" ref="K89" si="240">IFERROR(K88/G88-1,0)</f>
        <v>0.64741887905604734</v>
      </c>
      <c r="L89" s="342">
        <f t="shared" ref="L89" si="241">IFERROR(L88/H88-1,0)</f>
        <v>0.33074036789603745</v>
      </c>
      <c r="M89" s="342">
        <f t="shared" ref="M89" si="242">IFERROR(M88/I88-1,0)</f>
        <v>0.43549749788782743</v>
      </c>
      <c r="N89" s="342">
        <f t="shared" ref="N89" si="243">IFERROR(N88/J88-1,0)</f>
        <v>0.10924369747899165</v>
      </c>
      <c r="O89" s="342">
        <f>IFERROR(O88/K88-1,0)</f>
        <v>0.80898029503607183</v>
      </c>
      <c r="P89" s="342">
        <f t="shared" ref="P89" si="244">IFERROR(P88/L88-1,0)</f>
        <v>1.0860246623605398</v>
      </c>
      <c r="Q89" s="342">
        <f t="shared" ref="Q89" si="245">IFERROR(Q88/M88-1,0)</f>
        <v>-0.30916334661354583</v>
      </c>
      <c r="R89" s="342">
        <f t="shared" ref="R89" si="246">IFERROR(R88/N88-1,0)</f>
        <v>0.2712943634049152</v>
      </c>
      <c r="S89" s="342">
        <f t="shared" ref="S89" si="247">IFERROR(S88/O88-1,0)</f>
        <v>-0.67272604994813978</v>
      </c>
      <c r="T89" s="342">
        <f t="shared" ref="T89" si="248">IFERROR(T88/P88-1,0)</f>
        <v>-0.44997823511293644</v>
      </c>
      <c r="U89" s="342">
        <f t="shared" ref="U89" si="249">IFERROR(U88/Q88-1,0)</f>
        <v>0.11348026833948577</v>
      </c>
      <c r="V89" s="342">
        <f t="shared" ref="V89" si="250">IFERROR(V88/R88-1,0)</f>
        <v>-0.15188947439147904</v>
      </c>
      <c r="W89" s="248"/>
      <c r="X89" s="342"/>
      <c r="Y89" s="342">
        <f t="shared" ref="Y89:Z89" si="251">Y88/X88-1</f>
        <v>3.1855664397587136E-2</v>
      </c>
      <c r="Z89" s="342">
        <f t="shared" si="251"/>
        <v>0.31822236500780954</v>
      </c>
      <c r="AA89" s="342">
        <f t="shared" ref="AA89" si="252">AA88/Z88-1</f>
        <v>0.23752693342790887</v>
      </c>
      <c r="AB89" s="342">
        <f t="shared" ref="AB89" si="253">AB88/AA88-1</f>
        <v>-0.33949736261129848</v>
      </c>
      <c r="AC89" s="342">
        <f t="shared" ref="AC89" si="254">AC88/AB88-1</f>
        <v>7.370185510314653E-2</v>
      </c>
      <c r="AD89" s="342">
        <f t="shared" ref="AD89" si="255">AD88/AC88-1</f>
        <v>3.949332079533252E-2</v>
      </c>
      <c r="AE89" s="342">
        <f t="shared" ref="AE89" si="256">AE88/AD88-1</f>
        <v>0.10898303399259102</v>
      </c>
      <c r="AF89" s="342">
        <f t="shared" ref="AF89" si="257">AF88/AE88-1</f>
        <v>2.3076923076923439E-2</v>
      </c>
      <c r="AG89" s="342">
        <f t="shared" ref="AG89" si="258">AG88/AF88-1</f>
        <v>2.3749999999999938E-2</v>
      </c>
    </row>
    <row r="90" spans="2:35" outlineLevel="1" x14ac:dyDescent="0.2">
      <c r="B90" s="168"/>
      <c r="C90" s="169"/>
      <c r="D90" s="169"/>
      <c r="E90" s="169"/>
      <c r="F90" s="169"/>
      <c r="G90" s="169"/>
      <c r="H90" s="169"/>
      <c r="I90" s="169"/>
      <c r="J90" s="169"/>
      <c r="K90" s="169"/>
      <c r="L90" s="169"/>
      <c r="M90" s="169"/>
      <c r="N90" s="169"/>
      <c r="O90" s="169"/>
      <c r="P90" s="169"/>
      <c r="Q90" s="169"/>
    </row>
    <row r="91" spans="2:35" outlineLevel="1" x14ac:dyDescent="0.2">
      <c r="B91" s="156" t="s">
        <v>3</v>
      </c>
      <c r="C91" s="169"/>
      <c r="D91" s="169"/>
      <c r="E91" s="169"/>
      <c r="F91" s="169"/>
      <c r="G91" s="169"/>
      <c r="H91" s="169"/>
      <c r="I91" s="169"/>
      <c r="J91" s="169"/>
      <c r="K91" s="169"/>
      <c r="L91" s="169"/>
      <c r="M91" s="169"/>
      <c r="N91" s="169"/>
      <c r="O91" s="169"/>
      <c r="P91" s="169"/>
      <c r="Q91" s="169"/>
    </row>
    <row r="92" spans="2:35" outlineLevel="1" x14ac:dyDescent="0.2">
      <c r="B92" s="157" t="s">
        <v>5</v>
      </c>
      <c r="C92" s="182">
        <v>0</v>
      </c>
      <c r="D92" s="182">
        <v>0</v>
      </c>
      <c r="E92" s="182">
        <v>0</v>
      </c>
      <c r="F92" s="182">
        <v>0</v>
      </c>
      <c r="G92" s="182">
        <v>0</v>
      </c>
      <c r="H92" s="182">
        <v>0</v>
      </c>
      <c r="I92" s="182">
        <v>0</v>
      </c>
      <c r="J92" s="182">
        <v>0</v>
      </c>
      <c r="K92" s="182">
        <v>0</v>
      </c>
      <c r="L92" s="182">
        <v>0</v>
      </c>
      <c r="M92" s="182">
        <v>0</v>
      </c>
      <c r="N92" s="182">
        <v>0</v>
      </c>
      <c r="O92" s="182">
        <v>0</v>
      </c>
      <c r="P92" s="182">
        <v>0</v>
      </c>
      <c r="Q92" s="182">
        <v>0</v>
      </c>
      <c r="R92" s="182">
        <v>0</v>
      </c>
      <c r="S92" s="182">
        <v>0</v>
      </c>
      <c r="T92" s="182">
        <v>0</v>
      </c>
      <c r="U92" s="182">
        <v>0</v>
      </c>
      <c r="V92" s="182">
        <v>0</v>
      </c>
      <c r="X92" s="182">
        <f>SUM(C92:F92)</f>
        <v>0</v>
      </c>
      <c r="Y92" s="182">
        <f>SUM(G92:J92)</f>
        <v>0</v>
      </c>
      <c r="Z92" s="182">
        <f>SUM(K92:N92)</f>
        <v>0</v>
      </c>
      <c r="AA92" s="182">
        <f>SUM(O92:R92)</f>
        <v>0</v>
      </c>
      <c r="AB92" s="182">
        <f>SUM(S92:V92)</f>
        <v>0</v>
      </c>
      <c r="AC92" s="182">
        <f>IFERROR(AB92*(1+AC93),0)</f>
        <v>0</v>
      </c>
      <c r="AD92" s="182">
        <f t="shared" ref="AD92" si="259">IFERROR(AC92*(1+AD93),0)</f>
        <v>0</v>
      </c>
      <c r="AE92" s="182">
        <f t="shared" ref="AE92" si="260">IFERROR(AD92*(1+AE93),0)</f>
        <v>0</v>
      </c>
      <c r="AF92" s="182">
        <f t="shared" ref="AF92" si="261">IFERROR(AE92*(1+AF93),0)</f>
        <v>0</v>
      </c>
      <c r="AG92" s="182">
        <f t="shared" ref="AG92" si="262">IFERROR(AF92*(1+AG93),0)</f>
        <v>0</v>
      </c>
    </row>
    <row r="93" spans="2:35" outlineLevel="1" x14ac:dyDescent="0.2">
      <c r="B93" s="168" t="s">
        <v>199</v>
      </c>
      <c r="C93" s="169"/>
      <c r="D93" s="169"/>
      <c r="E93" s="169"/>
      <c r="F93" s="169"/>
      <c r="G93" s="180">
        <f t="shared" ref="G93" si="263">IFERROR(G92/C92-1,0)</f>
        <v>0</v>
      </c>
      <c r="H93" s="180">
        <f t="shared" ref="H93" si="264">IFERROR(H92/D92-1,0)</f>
        <v>0</v>
      </c>
      <c r="I93" s="180">
        <f t="shared" ref="I93" si="265">IFERROR(I92/E92-1,0)</f>
        <v>0</v>
      </c>
      <c r="J93" s="180">
        <f t="shared" ref="J93" si="266">IFERROR(J92/F92-1,0)</f>
        <v>0</v>
      </c>
      <c r="K93" s="180">
        <f t="shared" ref="K93" si="267">IFERROR(K92/G92-1,0)</f>
        <v>0</v>
      </c>
      <c r="L93" s="180">
        <f t="shared" ref="L93" si="268">IFERROR(L92/H92-1,0)</f>
        <v>0</v>
      </c>
      <c r="M93" s="180">
        <f t="shared" ref="M93" si="269">IFERROR(M92/I92-1,0)</f>
        <v>0</v>
      </c>
      <c r="N93" s="180">
        <f t="shared" ref="N93" si="270">IFERROR(N92/J92-1,0)</f>
        <v>0</v>
      </c>
      <c r="O93" s="180">
        <f>IFERROR(O92/K92-1,0)</f>
        <v>0</v>
      </c>
      <c r="P93" s="180">
        <f t="shared" ref="P93" si="271">IFERROR(P92/L92-1,0)</f>
        <v>0</v>
      </c>
      <c r="Q93" s="180">
        <f t="shared" ref="Q93" si="272">IFERROR(Q92/M92-1,0)</f>
        <v>0</v>
      </c>
      <c r="R93" s="180">
        <f t="shared" ref="R93" si="273">IFERROR(R92/N92-1,0)</f>
        <v>0</v>
      </c>
      <c r="S93" s="180">
        <f t="shared" ref="S93" si="274">IFERROR(S92/O92-1,0)</f>
        <v>0</v>
      </c>
      <c r="T93" s="180">
        <f t="shared" ref="T93" si="275">IFERROR(T92/P92-1,0)</f>
        <v>0</v>
      </c>
      <c r="U93" s="180">
        <f t="shared" ref="U93" si="276">IFERROR(U92/Q92-1,0)</f>
        <v>0</v>
      </c>
      <c r="V93" s="180">
        <f t="shared" ref="V93" si="277">IFERROR(V92/R92-1,0)</f>
        <v>0</v>
      </c>
      <c r="Y93" s="180">
        <f>IFERROR(Y92/X92-1,0)</f>
        <v>0</v>
      </c>
      <c r="Z93" s="180">
        <f>IFERROR(Z92/Y92-1,0)</f>
        <v>0</v>
      </c>
      <c r="AA93" s="180">
        <f>IFERROR(AA92/Z92-1,0)</f>
        <v>0</v>
      </c>
      <c r="AB93" s="180">
        <f>IFERROR(AB92/AA92-1,0)</f>
        <v>0</v>
      </c>
      <c r="AC93" s="181">
        <f>AB93</f>
        <v>0</v>
      </c>
      <c r="AD93" s="181">
        <f t="shared" ref="AD93:AG93" si="278">AC93</f>
        <v>0</v>
      </c>
      <c r="AE93" s="181">
        <f t="shared" si="278"/>
        <v>0</v>
      </c>
      <c r="AF93" s="181">
        <f t="shared" si="278"/>
        <v>0</v>
      </c>
      <c r="AG93" s="181">
        <f t="shared" si="278"/>
        <v>0</v>
      </c>
    </row>
    <row r="94" spans="2:35" outlineLevel="1" x14ac:dyDescent="0.2">
      <c r="B94" s="157" t="s">
        <v>6</v>
      </c>
      <c r="C94" s="169">
        <v>46</v>
      </c>
      <c r="D94" s="169">
        <v>49</v>
      </c>
      <c r="E94" s="169">
        <v>59</v>
      </c>
      <c r="F94" s="169">
        <v>54</v>
      </c>
      <c r="G94" s="169">
        <v>53</v>
      </c>
      <c r="H94" s="169">
        <v>53</v>
      </c>
      <c r="I94" s="169">
        <v>63</v>
      </c>
      <c r="J94" s="169">
        <v>56</v>
      </c>
      <c r="K94" s="169">
        <v>63</v>
      </c>
      <c r="L94" s="169">
        <v>62</v>
      </c>
      <c r="M94" s="169">
        <v>67</v>
      </c>
      <c r="N94" s="169">
        <v>63</v>
      </c>
      <c r="O94" s="169">
        <v>66</v>
      </c>
      <c r="P94" s="169">
        <v>68</v>
      </c>
      <c r="Q94" s="169">
        <v>65</v>
      </c>
      <c r="R94" s="182">
        <f>IFERROR(N94*(1+R95),0)</f>
        <v>64.907142857142858</v>
      </c>
      <c r="S94" s="182">
        <f t="shared" ref="S94" si="279">IFERROR(O94*(1+S95),0)</f>
        <v>67.860331632653057</v>
      </c>
      <c r="T94" s="182">
        <f t="shared" ref="T94" si="280">IFERROR(P94*(1+T95),0)</f>
        <v>69.186862244897952</v>
      </c>
      <c r="U94" s="182">
        <f t="shared" ref="U94" si="281">IFERROR(Q94*(1+U95),0)</f>
        <v>69.228316326530603</v>
      </c>
      <c r="V94" s="182">
        <f t="shared" ref="V94" si="282">IFERROR(R94*(1+V95),0)</f>
        <v>71.301020408163268</v>
      </c>
      <c r="X94" s="182">
        <f>SUM(C94:F94)</f>
        <v>208</v>
      </c>
      <c r="Y94" s="182">
        <f>SUM(G94:J94)</f>
        <v>225</v>
      </c>
      <c r="Z94" s="182">
        <f>SUM(K94:N94)</f>
        <v>255</v>
      </c>
      <c r="AA94" s="182">
        <f>SUM(O94:R94)</f>
        <v>263.90714285714284</v>
      </c>
      <c r="AB94" s="182">
        <f>SUM(S94:V94)</f>
        <v>277.57653061224488</v>
      </c>
      <c r="AC94" s="182">
        <f>IFERROR(AB94*(1+AC95),0)</f>
        <v>312.87219387755096</v>
      </c>
      <c r="AD94" s="182">
        <f t="shared" ref="AD94" si="283">IFERROR(AC94*(1+AD95),0)</f>
        <v>335.86096938775501</v>
      </c>
      <c r="AE94" s="182">
        <f t="shared" ref="AE94" si="284">IFERROR(AD94*(1+AE95),0)</f>
        <v>368.27806122448965</v>
      </c>
      <c r="AF94" s="182">
        <f t="shared" ref="AF94" si="285">IFERROR(AE94*(1+AF95),0)</f>
        <v>386.69196428571416</v>
      </c>
      <c r="AG94" s="182">
        <f t="shared" ref="AG94" si="286">IFERROR(AF94*(1+AG95),0)</f>
        <v>406.0265624999999</v>
      </c>
    </row>
    <row r="95" spans="2:35" outlineLevel="1" x14ac:dyDescent="0.2">
      <c r="B95" s="168" t="s">
        <v>199</v>
      </c>
      <c r="C95" s="169"/>
      <c r="D95" s="169"/>
      <c r="E95" s="169"/>
      <c r="F95" s="169"/>
      <c r="G95" s="342">
        <f t="shared" ref="G95" si="287">IFERROR(G94/C94-1,0)</f>
        <v>0.15217391304347827</v>
      </c>
      <c r="H95" s="342">
        <f t="shared" ref="H95" si="288">IFERROR(H94/D94-1,0)</f>
        <v>8.163265306122458E-2</v>
      </c>
      <c r="I95" s="342">
        <f t="shared" ref="I95" si="289">IFERROR(I94/E94-1,0)</f>
        <v>6.7796610169491567E-2</v>
      </c>
      <c r="J95" s="342">
        <f t="shared" ref="J95" si="290">IFERROR(J94/F94-1,0)</f>
        <v>3.7037037037036979E-2</v>
      </c>
      <c r="K95" s="342">
        <f t="shared" ref="K95" si="291">IFERROR(K94/G94-1,0)</f>
        <v>0.18867924528301883</v>
      </c>
      <c r="L95" s="342">
        <f t="shared" ref="L95" si="292">IFERROR(L94/H94-1,0)</f>
        <v>0.16981132075471694</v>
      </c>
      <c r="M95" s="342">
        <f t="shared" ref="M95" si="293">IFERROR(M94/I94-1,0)</f>
        <v>6.3492063492063489E-2</v>
      </c>
      <c r="N95" s="342">
        <f t="shared" ref="N95" si="294">IFERROR(N94/J94-1,0)</f>
        <v>0.125</v>
      </c>
      <c r="O95" s="342">
        <f>IFERROR(O94/K94-1,0)</f>
        <v>4.7619047619047672E-2</v>
      </c>
      <c r="P95" s="342">
        <f t="shared" ref="P95" si="295">IFERROR(P94/L94-1,0)</f>
        <v>9.6774193548387011E-2</v>
      </c>
      <c r="Q95" s="342">
        <f t="shared" ref="Q95" si="296">IFERROR(Q94/M94-1,0)</f>
        <v>-2.9850746268656692E-2</v>
      </c>
      <c r="R95" s="396">
        <f>'vs. Consensus'!G111</f>
        <v>3.0272108843537371E-2</v>
      </c>
      <c r="S95" s="396">
        <f>'vs. Consensus'!H111</f>
        <v>2.8186842918985766E-2</v>
      </c>
      <c r="T95" s="396">
        <f>'vs. Consensus'!I111</f>
        <v>1.7453856542616997E-2</v>
      </c>
      <c r="U95" s="396">
        <f>'vs. Consensus'!J111</f>
        <v>6.5051020408163129E-2</v>
      </c>
      <c r="V95" s="396">
        <f>'vs. Consensus'!K111</f>
        <v>9.8508072756999798E-2</v>
      </c>
      <c r="Y95" s="342">
        <f>IFERROR(Y94/X94-1,0)</f>
        <v>8.1730769230769162E-2</v>
      </c>
      <c r="Z95" s="342">
        <f>IFERROR(Z94/Y94-1,0)</f>
        <v>0.1333333333333333</v>
      </c>
      <c r="AA95" s="342">
        <f>IFERROR(AA94/Z94-1,0)</f>
        <v>3.4929971988795439E-2</v>
      </c>
      <c r="AB95" s="342">
        <f>IFERROR(AB94/AA94-1,0)</f>
        <v>5.1796202282033299E-2</v>
      </c>
      <c r="AC95" s="396">
        <f>'vs. Consensus'!T111</f>
        <v>0.12715651135005968</v>
      </c>
      <c r="AD95" s="396">
        <f>'vs. Consensus'!U111</f>
        <v>7.3476569538810432E-2</v>
      </c>
      <c r="AE95" s="396">
        <f>'vs. Consensus'!V111</f>
        <v>9.6519377931374883E-2</v>
      </c>
      <c r="AF95" s="396">
        <v>0.05</v>
      </c>
      <c r="AG95" s="396">
        <v>0.05</v>
      </c>
    </row>
    <row r="96" spans="2:35" outlineLevel="1" x14ac:dyDescent="0.2">
      <c r="B96" s="157" t="s">
        <v>7</v>
      </c>
      <c r="C96" s="182">
        <v>0</v>
      </c>
      <c r="D96" s="182">
        <v>0</v>
      </c>
      <c r="E96" s="182">
        <v>0</v>
      </c>
      <c r="F96" s="182">
        <v>0</v>
      </c>
      <c r="G96" s="182">
        <v>0</v>
      </c>
      <c r="H96" s="182">
        <v>0</v>
      </c>
      <c r="I96" s="182">
        <v>0</v>
      </c>
      <c r="J96" s="182">
        <v>0</v>
      </c>
      <c r="K96" s="182">
        <v>0</v>
      </c>
      <c r="L96" s="182">
        <v>0</v>
      </c>
      <c r="M96" s="182">
        <v>0</v>
      </c>
      <c r="N96" s="182">
        <v>0</v>
      </c>
      <c r="O96" s="182">
        <v>0</v>
      </c>
      <c r="P96" s="182">
        <v>0</v>
      </c>
      <c r="Q96" s="182">
        <v>0</v>
      </c>
      <c r="R96" s="182">
        <v>0</v>
      </c>
      <c r="S96" s="182">
        <v>0</v>
      </c>
      <c r="T96" s="182">
        <v>0</v>
      </c>
      <c r="U96" s="182">
        <v>0</v>
      </c>
      <c r="V96" s="182">
        <v>0</v>
      </c>
      <c r="X96" s="182">
        <f>SUM(C96:F96)</f>
        <v>0</v>
      </c>
      <c r="Y96" s="182">
        <f>SUM(G96:J96)</f>
        <v>0</v>
      </c>
      <c r="Z96" s="182">
        <f>SUM(K96:N96)</f>
        <v>0</v>
      </c>
      <c r="AA96" s="182">
        <f>SUM(O96:R96)</f>
        <v>0</v>
      </c>
      <c r="AB96" s="182">
        <f>SUM(S96:V96)</f>
        <v>0</v>
      </c>
      <c r="AC96" s="182">
        <f>IFERROR(AB96*(1+AC97),0)</f>
        <v>0</v>
      </c>
      <c r="AD96" s="182">
        <f t="shared" ref="AD96" si="297">IFERROR(AC96*(1+AD97),0)</f>
        <v>0</v>
      </c>
      <c r="AE96" s="182">
        <f t="shared" ref="AE96" si="298">IFERROR(AD96*(1+AE97),0)</f>
        <v>0</v>
      </c>
      <c r="AF96" s="182">
        <f t="shared" ref="AF96" si="299">IFERROR(AE96*(1+AF97),0)</f>
        <v>0</v>
      </c>
      <c r="AG96" s="182">
        <f t="shared" ref="AG96" si="300">IFERROR(AF96*(1+AG97),0)</f>
        <v>0</v>
      </c>
    </row>
    <row r="97" spans="2:38" outlineLevel="1" x14ac:dyDescent="0.2">
      <c r="B97" s="168" t="s">
        <v>199</v>
      </c>
      <c r="C97" s="169"/>
      <c r="D97" s="169"/>
      <c r="E97" s="169"/>
      <c r="F97" s="169"/>
      <c r="G97" s="180">
        <f t="shared" ref="G97" si="301">IFERROR(G96/C96-1,0)</f>
        <v>0</v>
      </c>
      <c r="H97" s="180">
        <f t="shared" ref="H97" si="302">IFERROR(H96/D96-1,0)</f>
        <v>0</v>
      </c>
      <c r="I97" s="180">
        <f t="shared" ref="I97" si="303">IFERROR(I96/E96-1,0)</f>
        <v>0</v>
      </c>
      <c r="J97" s="180">
        <f t="shared" ref="J97" si="304">IFERROR(J96/F96-1,0)</f>
        <v>0</v>
      </c>
      <c r="K97" s="180">
        <f t="shared" ref="K97" si="305">IFERROR(K96/G96-1,0)</f>
        <v>0</v>
      </c>
      <c r="L97" s="180">
        <f t="shared" ref="L97" si="306">IFERROR(L96/H96-1,0)</f>
        <v>0</v>
      </c>
      <c r="M97" s="180">
        <f t="shared" ref="M97" si="307">IFERROR(M96/I96-1,0)</f>
        <v>0</v>
      </c>
      <c r="N97" s="180">
        <f t="shared" ref="N97" si="308">IFERROR(N96/J96-1,0)</f>
        <v>0</v>
      </c>
      <c r="O97" s="180">
        <f>IFERROR(O96/K96-1,0)</f>
        <v>0</v>
      </c>
      <c r="P97" s="180">
        <f t="shared" ref="P97" si="309">IFERROR(P96/L96-1,0)</f>
        <v>0</v>
      </c>
      <c r="Q97" s="180">
        <f t="shared" ref="Q97" si="310">IFERROR(Q96/M96-1,0)</f>
        <v>0</v>
      </c>
      <c r="R97" s="180">
        <f t="shared" ref="R97" si="311">IFERROR(R96/N96-1,0)</f>
        <v>0</v>
      </c>
      <c r="S97" s="180">
        <f t="shared" ref="S97" si="312">IFERROR(S96/O96-1,0)</f>
        <v>0</v>
      </c>
      <c r="T97" s="180">
        <f t="shared" ref="T97" si="313">IFERROR(T96/P96-1,0)</f>
        <v>0</v>
      </c>
      <c r="U97" s="180">
        <f t="shared" ref="U97" si="314">IFERROR(U96/Q96-1,0)</f>
        <v>0</v>
      </c>
      <c r="V97" s="180">
        <f t="shared" ref="V97" si="315">IFERROR(V96/R96-1,0)</f>
        <v>0</v>
      </c>
      <c r="Y97" s="180">
        <f>IFERROR(Y96/X96-1,0)</f>
        <v>0</v>
      </c>
      <c r="Z97" s="180">
        <f>IFERROR(Z96/Y96-1,0)</f>
        <v>0</v>
      </c>
      <c r="AA97" s="180">
        <f>IFERROR(AA96/Z96-1,0)</f>
        <v>0</v>
      </c>
      <c r="AB97" s="180">
        <f>IFERROR(AB96/AA96-1,0)</f>
        <v>0</v>
      </c>
      <c r="AC97" s="181">
        <f>AB97</f>
        <v>0</v>
      </c>
      <c r="AD97" s="181">
        <f t="shared" ref="AD97:AG97" si="316">AC97</f>
        <v>0</v>
      </c>
      <c r="AE97" s="181">
        <f t="shared" si="316"/>
        <v>0</v>
      </c>
      <c r="AF97" s="181">
        <f t="shared" si="316"/>
        <v>0</v>
      </c>
      <c r="AG97" s="181">
        <f t="shared" si="316"/>
        <v>0</v>
      </c>
    </row>
    <row r="98" spans="2:38" outlineLevel="1" x14ac:dyDescent="0.2">
      <c r="B98" s="157" t="s">
        <v>8</v>
      </c>
      <c r="C98" s="169">
        <v>227</v>
      </c>
      <c r="D98" s="169">
        <v>229</v>
      </c>
      <c r="E98" s="169">
        <v>231</v>
      </c>
      <c r="F98" s="169">
        <v>234</v>
      </c>
      <c r="G98" s="169">
        <v>247</v>
      </c>
      <c r="H98" s="169">
        <v>279</v>
      </c>
      <c r="I98" s="169">
        <v>266</v>
      </c>
      <c r="J98" s="169">
        <v>266</v>
      </c>
      <c r="K98" s="169">
        <v>289</v>
      </c>
      <c r="L98" s="169">
        <v>298</v>
      </c>
      <c r="M98" s="169">
        <v>285</v>
      </c>
      <c r="N98" s="169">
        <v>275</v>
      </c>
      <c r="O98" s="169">
        <v>288</v>
      </c>
      <c r="P98" s="169">
        <v>278</v>
      </c>
      <c r="Q98" s="169">
        <v>245</v>
      </c>
      <c r="R98" s="182">
        <f>IFERROR(N98*(1+R99),0)</f>
        <v>246.744</v>
      </c>
      <c r="S98" s="182">
        <f t="shared" ref="S98" si="317">IFERROR(O98*(1+S99),0)</f>
        <v>251</v>
      </c>
      <c r="T98" s="182">
        <f t="shared" ref="T98" si="318">IFERROR(P98*(1+T99),0)</f>
        <v>252.333</v>
      </c>
      <c r="U98" s="182">
        <f t="shared" ref="U98" si="319">IFERROR(Q98*(1+U99),0)</f>
        <v>250</v>
      </c>
      <c r="V98" s="182">
        <f t="shared" ref="V98" si="320">IFERROR(R98*(1+V99),0)</f>
        <v>272.66699999999997</v>
      </c>
      <c r="X98" s="182">
        <f>SUM(C98:F98)</f>
        <v>921</v>
      </c>
      <c r="Y98" s="182">
        <f>SUM(G98:J98)</f>
        <v>1058</v>
      </c>
      <c r="Z98" s="182">
        <f>SUM(K98:N98)</f>
        <v>1147</v>
      </c>
      <c r="AA98" s="182">
        <f>SUM(O98:R98)</f>
        <v>1057.7439999999999</v>
      </c>
      <c r="AB98" s="182">
        <f>SUM(S98:V98)</f>
        <v>1026</v>
      </c>
      <c r="AC98" s="182">
        <f>IFERROR(AB98*(1+AC99),0)</f>
        <v>1132</v>
      </c>
      <c r="AD98" s="182">
        <f t="shared" ref="AD98" si="321">IFERROR(AC98*(1+AD99),0)</f>
        <v>1125.67</v>
      </c>
      <c r="AE98" s="182">
        <f t="shared" ref="AE98" si="322">IFERROR(AD98*(1+AE99),0)</f>
        <v>1178</v>
      </c>
      <c r="AF98" s="182">
        <f t="shared" ref="AF98" si="323">IFERROR(AE98*(1+AF99),0)</f>
        <v>1236.9000000000001</v>
      </c>
      <c r="AG98" s="182">
        <f t="shared" ref="AG98" si="324">IFERROR(AF98*(1+AG99),0)</f>
        <v>1298.7450000000001</v>
      </c>
    </row>
    <row r="99" spans="2:38" outlineLevel="1" x14ac:dyDescent="0.2">
      <c r="B99" s="168" t="s">
        <v>199</v>
      </c>
      <c r="C99" s="169"/>
      <c r="D99" s="169"/>
      <c r="E99" s="169"/>
      <c r="F99" s="169"/>
      <c r="G99" s="342">
        <f t="shared" ref="G99" si="325">IFERROR(G98/C98-1,0)</f>
        <v>8.8105726872246715E-2</v>
      </c>
      <c r="H99" s="342">
        <f t="shared" ref="H99" si="326">IFERROR(H98/D98-1,0)</f>
        <v>0.21834061135371186</v>
      </c>
      <c r="I99" s="342">
        <f t="shared" ref="I99" si="327">IFERROR(I98/E98-1,0)</f>
        <v>0.1515151515151516</v>
      </c>
      <c r="J99" s="342">
        <f t="shared" ref="J99" si="328">IFERROR(J98/F98-1,0)</f>
        <v>0.13675213675213671</v>
      </c>
      <c r="K99" s="342">
        <f t="shared" ref="K99" si="329">IFERROR(K98/G98-1,0)</f>
        <v>0.17004048582995956</v>
      </c>
      <c r="L99" s="342">
        <f t="shared" ref="L99" si="330">IFERROR(L98/H98-1,0)</f>
        <v>6.8100358422939156E-2</v>
      </c>
      <c r="M99" s="342">
        <f t="shared" ref="M99" si="331">IFERROR(M98/I98-1,0)</f>
        <v>7.1428571428571397E-2</v>
      </c>
      <c r="N99" s="342">
        <f t="shared" ref="N99" si="332">IFERROR(N98/J98-1,0)</f>
        <v>3.3834586466165328E-2</v>
      </c>
      <c r="O99" s="342">
        <f>IFERROR(O98/K98-1,0)</f>
        <v>-3.4602076124568004E-3</v>
      </c>
      <c r="P99" s="342">
        <f t="shared" ref="P99" si="333">IFERROR(P98/L98-1,0)</f>
        <v>-6.7114093959731558E-2</v>
      </c>
      <c r="Q99" s="342">
        <f t="shared" ref="Q99" si="334">IFERROR(Q98/M98-1,0)</f>
        <v>-0.14035087719298245</v>
      </c>
      <c r="R99" s="396">
        <f>'vs. Consensus'!G113</f>
        <v>-0.1027490909090909</v>
      </c>
      <c r="S99" s="396">
        <f>'vs. Consensus'!H113</f>
        <v>-0.12847222222222221</v>
      </c>
      <c r="T99" s="396">
        <f>'vs. Consensus'!I113</f>
        <v>-9.232733812949645E-2</v>
      </c>
      <c r="U99" s="396">
        <f>'vs. Consensus'!J113</f>
        <v>2.0408163265306145E-2</v>
      </c>
      <c r="V99" s="396">
        <f>'vs. Consensus'!K113</f>
        <v>0.10506030541776079</v>
      </c>
      <c r="Y99" s="342">
        <f>IFERROR(Y98/X98-1,0)</f>
        <v>0.14875135722041266</v>
      </c>
      <c r="Z99" s="342">
        <f>IFERROR(Z98/Y98-1,0)</f>
        <v>8.4120982986767512E-2</v>
      </c>
      <c r="AA99" s="342">
        <f>IFERROR(AA98/Z98-1,0)</f>
        <v>-7.7816913687881462E-2</v>
      </c>
      <c r="AB99" s="342">
        <f>IFERROR(AB98/AA98-1,0)</f>
        <v>-3.0011042369420093E-2</v>
      </c>
      <c r="AC99" s="396">
        <f>'vs. Consensus'!T113</f>
        <v>0.10331384015594547</v>
      </c>
      <c r="AD99" s="396">
        <f>'vs. Consensus'!U113</f>
        <v>-5.5918727915194033E-3</v>
      </c>
      <c r="AE99" s="396">
        <f>'vs. Consensus'!V113</f>
        <v>4.6487869446640628E-2</v>
      </c>
      <c r="AF99" s="396">
        <v>0.05</v>
      </c>
      <c r="AG99" s="396">
        <v>0.05</v>
      </c>
    </row>
    <row r="100" spans="2:38" ht="15" outlineLevel="1" x14ac:dyDescent="0.25">
      <c r="B100" s="166" t="s">
        <v>195</v>
      </c>
      <c r="C100" s="170">
        <f t="shared" ref="C100:K100" si="335">SUM(C92,C94,C96,C98)</f>
        <v>273</v>
      </c>
      <c r="D100" s="170">
        <f t="shared" si="335"/>
        <v>278</v>
      </c>
      <c r="E100" s="170">
        <f t="shared" si="335"/>
        <v>290</v>
      </c>
      <c r="F100" s="170">
        <f t="shared" si="335"/>
        <v>288</v>
      </c>
      <c r="G100" s="170">
        <f t="shared" si="335"/>
        <v>300</v>
      </c>
      <c r="H100" s="170">
        <f t="shared" si="335"/>
        <v>332</v>
      </c>
      <c r="I100" s="170">
        <f t="shared" si="335"/>
        <v>329</v>
      </c>
      <c r="J100" s="170">
        <f t="shared" si="335"/>
        <v>322</v>
      </c>
      <c r="K100" s="170">
        <f t="shared" si="335"/>
        <v>352</v>
      </c>
      <c r="L100" s="170">
        <f t="shared" ref="L100:V100" si="336">SUM(L92,L94,L96,L98)</f>
        <v>360</v>
      </c>
      <c r="M100" s="170">
        <f t="shared" si="336"/>
        <v>352</v>
      </c>
      <c r="N100" s="170">
        <f t="shared" si="336"/>
        <v>338</v>
      </c>
      <c r="O100" s="170">
        <f t="shared" si="336"/>
        <v>354</v>
      </c>
      <c r="P100" s="170">
        <f t="shared" si="336"/>
        <v>346</v>
      </c>
      <c r="Q100" s="170">
        <f t="shared" si="336"/>
        <v>310</v>
      </c>
      <c r="R100" s="170">
        <f t="shared" si="336"/>
        <v>311.65114285714287</v>
      </c>
      <c r="S100" s="170">
        <f t="shared" si="336"/>
        <v>318.86033163265307</v>
      </c>
      <c r="T100" s="170">
        <f t="shared" si="336"/>
        <v>321.51986224489792</v>
      </c>
      <c r="U100" s="170">
        <f t="shared" si="336"/>
        <v>319.2283163265306</v>
      </c>
      <c r="V100" s="170">
        <f t="shared" si="336"/>
        <v>343.96802040816323</v>
      </c>
      <c r="X100" s="170">
        <f>SUM(I100:L100)</f>
        <v>1363</v>
      </c>
      <c r="Y100" s="170">
        <f>SUM(J100:M100)</f>
        <v>1386</v>
      </c>
      <c r="Z100" s="170">
        <f>SUM(K100:N100)</f>
        <v>1402</v>
      </c>
      <c r="AA100" s="170">
        <f>SUM(O100:R100)</f>
        <v>1321.651142857143</v>
      </c>
      <c r="AB100" s="170">
        <f>SUM(S100:V100)</f>
        <v>1303.5765306122448</v>
      </c>
      <c r="AC100" s="170">
        <f t="shared" ref="AC100:AG100" si="337">SUM(AC92,AC94,AC96,AC98)</f>
        <v>1444.8721938775509</v>
      </c>
      <c r="AD100" s="170">
        <f t="shared" si="337"/>
        <v>1461.530969387755</v>
      </c>
      <c r="AE100" s="170">
        <f t="shared" si="337"/>
        <v>1546.2780612244896</v>
      </c>
      <c r="AF100" s="170">
        <f t="shared" si="337"/>
        <v>1623.5919642857143</v>
      </c>
      <c r="AG100" s="170">
        <f t="shared" si="337"/>
        <v>1704.7715625000001</v>
      </c>
      <c r="AI100" s="197">
        <f>RATE(7,,-Z100,AG100)</f>
        <v>2.8326833021440515E-2</v>
      </c>
    </row>
    <row r="101" spans="2:38" outlineLevel="1" x14ac:dyDescent="0.2">
      <c r="B101" s="168" t="s">
        <v>199</v>
      </c>
      <c r="C101" s="169"/>
      <c r="D101" s="169"/>
      <c r="E101" s="169"/>
      <c r="F101" s="169"/>
      <c r="G101" s="169"/>
      <c r="H101" s="169"/>
      <c r="I101" s="169"/>
      <c r="J101" s="169"/>
      <c r="K101" s="169"/>
      <c r="L101" s="169"/>
      <c r="M101" s="169"/>
      <c r="N101" s="169"/>
      <c r="O101" s="169"/>
      <c r="P101" s="169"/>
      <c r="Q101" s="169"/>
      <c r="AA101" s="180">
        <f>IFERROR(AA100/Z100-1,0)</f>
        <v>-5.7310169146117751E-2</v>
      </c>
      <c r="AB101" s="180">
        <f>IFERROR(AB100/AA100-1,0)</f>
        <v>-1.3675781496942152E-2</v>
      </c>
      <c r="AC101" s="180">
        <f t="shared" ref="AC101" si="338">IFERROR(AC100/AB100-1,0)</f>
        <v>0.10839076950775151</v>
      </c>
      <c r="AD101" s="180">
        <f t="shared" ref="AD101" si="339">IFERROR(AD100/AC100-1,0)</f>
        <v>1.1529584125705705E-2</v>
      </c>
      <c r="AE101" s="180">
        <f t="shared" ref="AE101" si="340">IFERROR(AE100/AD100-1,0)</f>
        <v>5.7985149553304138E-2</v>
      </c>
      <c r="AF101" s="180">
        <f t="shared" ref="AF101" si="341">IFERROR(AF100/AE100-1,0)</f>
        <v>5.0000000000000044E-2</v>
      </c>
      <c r="AG101" s="180">
        <f t="shared" ref="AG101" si="342">IFERROR(AG100/AF100-1,0)</f>
        <v>5.0000000000000044E-2</v>
      </c>
    </row>
    <row r="102" spans="2:38" outlineLevel="1" x14ac:dyDescent="0.2">
      <c r="B102" s="168"/>
      <c r="C102" s="169"/>
      <c r="D102" s="169"/>
      <c r="E102" s="169"/>
      <c r="F102" s="169"/>
      <c r="G102" s="169"/>
      <c r="H102" s="169"/>
      <c r="I102" s="169"/>
      <c r="J102" s="169"/>
      <c r="K102" s="169"/>
      <c r="L102" s="169"/>
      <c r="M102" s="169"/>
      <c r="N102" s="169"/>
      <c r="O102" s="169"/>
      <c r="P102" s="169"/>
      <c r="Q102" s="169"/>
      <c r="R102" s="169"/>
      <c r="V102" s="169"/>
    </row>
    <row r="103" spans="2:38" outlineLevel="1" x14ac:dyDescent="0.2">
      <c r="B103" s="168"/>
      <c r="C103" s="169"/>
      <c r="D103" s="169"/>
      <c r="E103" s="169"/>
      <c r="F103" s="169"/>
      <c r="G103" s="169"/>
      <c r="H103" s="169"/>
      <c r="I103" s="169"/>
      <c r="J103" s="169"/>
      <c r="K103" s="169"/>
      <c r="L103" s="169"/>
      <c r="M103" s="169"/>
      <c r="N103" s="169"/>
      <c r="O103" s="169"/>
      <c r="P103" s="169"/>
      <c r="Q103" s="169"/>
      <c r="R103" s="169"/>
      <c r="V103" s="169"/>
    </row>
    <row r="104" spans="2:38" outlineLevel="1" x14ac:dyDescent="0.2">
      <c r="B104" s="168" t="s">
        <v>307</v>
      </c>
      <c r="C104" s="169"/>
      <c r="D104" s="169"/>
      <c r="E104" s="169"/>
      <c r="F104" s="169"/>
      <c r="G104" s="169"/>
      <c r="H104" s="169"/>
      <c r="I104" s="169"/>
      <c r="J104" s="169"/>
      <c r="K104" s="169"/>
      <c r="L104" s="169"/>
      <c r="M104" s="169"/>
      <c r="N104" s="169"/>
      <c r="O104" s="169"/>
      <c r="P104" s="169"/>
      <c r="Q104" s="169"/>
      <c r="R104" s="169"/>
      <c r="V104" s="169"/>
      <c r="AA104" s="220"/>
      <c r="AB104" s="220"/>
      <c r="AC104" s="220"/>
      <c r="AD104" s="220"/>
      <c r="AE104" s="220"/>
      <c r="AF104" s="220"/>
      <c r="AG104" s="220"/>
    </row>
    <row r="105" spans="2:38" outlineLevel="1" x14ac:dyDescent="0.2">
      <c r="B105" s="168"/>
      <c r="C105" s="169"/>
      <c r="D105" s="169"/>
      <c r="E105" s="169"/>
      <c r="F105" s="169"/>
      <c r="G105" s="169"/>
      <c r="H105" s="169"/>
      <c r="I105" s="169"/>
      <c r="J105" s="169"/>
      <c r="K105" s="169"/>
      <c r="L105" s="169"/>
      <c r="M105" s="169"/>
      <c r="N105" s="169"/>
      <c r="O105" s="169"/>
      <c r="P105" s="169"/>
      <c r="Q105" s="169"/>
      <c r="R105" s="169"/>
      <c r="V105" s="169"/>
    </row>
    <row r="106" spans="2:38" outlineLevel="1" x14ac:dyDescent="0.2">
      <c r="B106" s="168"/>
      <c r="C106" s="169"/>
      <c r="D106" s="169"/>
      <c r="E106" s="169"/>
      <c r="F106" s="169"/>
      <c r="G106" s="169"/>
      <c r="H106" s="169"/>
      <c r="I106" s="169"/>
      <c r="J106" s="169"/>
      <c r="K106" s="169"/>
      <c r="L106" s="169"/>
      <c r="M106" s="169"/>
      <c r="N106" s="169"/>
      <c r="O106" s="169"/>
      <c r="P106" s="169"/>
      <c r="Q106" s="169"/>
      <c r="R106" s="169"/>
      <c r="V106" s="169"/>
      <c r="AJ106" s="156" t="s">
        <v>504</v>
      </c>
      <c r="AL106" s="216" t="s">
        <v>510</v>
      </c>
    </row>
    <row r="107" spans="2:38" outlineLevel="1" x14ac:dyDescent="0.2">
      <c r="B107" s="156" t="s">
        <v>4</v>
      </c>
      <c r="C107" s="169"/>
      <c r="D107" s="169"/>
      <c r="E107" s="169"/>
      <c r="F107" s="169"/>
      <c r="G107" s="169"/>
      <c r="H107" s="169"/>
      <c r="I107" s="169"/>
      <c r="J107" s="169"/>
      <c r="K107" s="169"/>
      <c r="L107" s="169"/>
      <c r="M107" s="169"/>
      <c r="N107" s="169"/>
      <c r="O107" s="169"/>
      <c r="P107" s="169"/>
      <c r="Q107" s="169"/>
      <c r="R107" s="250">
        <v>0.25</v>
      </c>
      <c r="S107" s="250">
        <f>R107</f>
        <v>0.25</v>
      </c>
      <c r="T107" s="250">
        <f t="shared" ref="T107:V107" si="343">S107</f>
        <v>0.25</v>
      </c>
      <c r="U107" s="250">
        <f t="shared" si="343"/>
        <v>0.25</v>
      </c>
      <c r="V107" s="250">
        <f t="shared" si="343"/>
        <v>0.25</v>
      </c>
      <c r="AB107" s="169"/>
      <c r="AC107" s="250">
        <v>0.25</v>
      </c>
      <c r="AD107" s="250">
        <f>AC107</f>
        <v>0.25</v>
      </c>
      <c r="AE107" s="250">
        <f t="shared" ref="AE107:AG107" si="344">AD107</f>
        <v>0.25</v>
      </c>
      <c r="AF107" s="250">
        <f t="shared" si="344"/>
        <v>0.25</v>
      </c>
      <c r="AG107" s="250">
        <f t="shared" si="344"/>
        <v>0.25</v>
      </c>
      <c r="AH107" s="189"/>
    </row>
    <row r="108" spans="2:38" outlineLevel="1" x14ac:dyDescent="0.2">
      <c r="B108" s="157" t="s">
        <v>5</v>
      </c>
      <c r="C108" s="169">
        <f>C111</f>
        <v>156</v>
      </c>
      <c r="D108" s="169">
        <f t="shared" ref="D108:Q108" si="345">D111</f>
        <v>163</v>
      </c>
      <c r="E108" s="169">
        <f t="shared" si="345"/>
        <v>170</v>
      </c>
      <c r="F108" s="169">
        <f t="shared" si="345"/>
        <v>165</v>
      </c>
      <c r="G108" s="169">
        <f t="shared" si="345"/>
        <v>165</v>
      </c>
      <c r="H108" s="169">
        <f t="shared" si="345"/>
        <v>167</v>
      </c>
      <c r="I108" s="169">
        <f t="shared" si="345"/>
        <v>171</v>
      </c>
      <c r="J108" s="169">
        <f t="shared" si="345"/>
        <v>174</v>
      </c>
      <c r="K108" s="169">
        <f t="shared" si="345"/>
        <v>200</v>
      </c>
      <c r="L108" s="169">
        <f t="shared" si="345"/>
        <v>201</v>
      </c>
      <c r="M108" s="169">
        <f t="shared" si="345"/>
        <v>187</v>
      </c>
      <c r="N108" s="169">
        <f t="shared" si="345"/>
        <v>210</v>
      </c>
      <c r="O108" s="169">
        <f t="shared" si="345"/>
        <v>208</v>
      </c>
      <c r="P108" s="169">
        <f t="shared" si="345"/>
        <v>213</v>
      </c>
      <c r="Q108" s="169">
        <f t="shared" si="345"/>
        <v>222</v>
      </c>
      <c r="R108" s="182">
        <f>IFERROR(N108*(1+R109),0)</f>
        <v>262.5</v>
      </c>
      <c r="S108" s="182">
        <f t="shared" ref="S108:V108" si="346">IFERROR(O108*(1+S109),0)</f>
        <v>260</v>
      </c>
      <c r="T108" s="182">
        <f t="shared" si="346"/>
        <v>266.25</v>
      </c>
      <c r="U108" s="182">
        <f t="shared" si="346"/>
        <v>277.5</v>
      </c>
      <c r="V108" s="182">
        <f t="shared" si="346"/>
        <v>328.125</v>
      </c>
      <c r="X108" s="182">
        <f>SUM(C108:F108)</f>
        <v>654</v>
      </c>
      <c r="Y108" s="182">
        <f>SUM(G108:J108)</f>
        <v>677</v>
      </c>
      <c r="Z108" s="182">
        <f>SUM(K108:N108)</f>
        <v>798</v>
      </c>
      <c r="AA108" s="182">
        <f>SUM(O108:R108)</f>
        <v>905.5</v>
      </c>
      <c r="AB108" s="182">
        <f>SUM(S108:V108)</f>
        <v>1131.875</v>
      </c>
      <c r="AC108" s="182">
        <f>IFERROR(AB108*(1+AC109),0)</f>
        <v>1414.84375</v>
      </c>
      <c r="AD108" s="182">
        <f t="shared" ref="AD108" si="347">IFERROR(AC108*(1+AD109),0)</f>
        <v>1768.5546875</v>
      </c>
      <c r="AE108" s="182">
        <f t="shared" ref="AE108" si="348">IFERROR(AD108*(1+AE109),0)</f>
        <v>2210.693359375</v>
      </c>
      <c r="AF108" s="182">
        <f t="shared" ref="AF108" si="349">IFERROR(AE108*(1+AF109),0)</f>
        <v>2763.36669921875</v>
      </c>
      <c r="AG108" s="182">
        <f t="shared" ref="AG108" si="350">IFERROR(AF108*(1+AG109),0)</f>
        <v>3454.2083740234375</v>
      </c>
      <c r="AH108" s="189"/>
      <c r="AI108" s="197">
        <f>RATE(6,,-AA108,AG108)</f>
        <v>0.25000000000000022</v>
      </c>
    </row>
    <row r="109" spans="2:38" outlineLevel="1" x14ac:dyDescent="0.2">
      <c r="B109" s="168" t="s">
        <v>199</v>
      </c>
      <c r="C109" s="169"/>
      <c r="D109" s="169"/>
      <c r="E109" s="169"/>
      <c r="F109" s="169"/>
      <c r="G109" s="342">
        <f t="shared" ref="G109" si="351">IFERROR(G108/C108-1,0)</f>
        <v>5.7692307692307709E-2</v>
      </c>
      <c r="H109" s="342">
        <f t="shared" ref="H109" si="352">IFERROR(H108/D108-1,0)</f>
        <v>2.4539877300613577E-2</v>
      </c>
      <c r="I109" s="342">
        <f t="shared" ref="I109" si="353">IFERROR(I108/E108-1,0)</f>
        <v>5.8823529411764497E-3</v>
      </c>
      <c r="J109" s="342">
        <f t="shared" ref="J109" si="354">IFERROR(J108/F108-1,0)</f>
        <v>5.4545454545454453E-2</v>
      </c>
      <c r="K109" s="342">
        <f t="shared" ref="K109" si="355">IFERROR(K108/G108-1,0)</f>
        <v>0.21212121212121215</v>
      </c>
      <c r="L109" s="342">
        <f t="shared" ref="L109" si="356">IFERROR(L108/H108-1,0)</f>
        <v>0.20359281437125754</v>
      </c>
      <c r="M109" s="342">
        <f t="shared" ref="M109" si="357">IFERROR(M108/I108-1,0)</f>
        <v>9.3567251461988299E-2</v>
      </c>
      <c r="N109" s="342">
        <f t="shared" ref="N109" si="358">IFERROR(N108/J108-1,0)</f>
        <v>0.2068965517241379</v>
      </c>
      <c r="O109" s="342">
        <f>IFERROR(O108/K108-1,0)</f>
        <v>4.0000000000000036E-2</v>
      </c>
      <c r="P109" s="342">
        <f t="shared" ref="P109" si="359">IFERROR(P108/L108-1,0)</f>
        <v>5.9701492537313383E-2</v>
      </c>
      <c r="Q109" s="342">
        <f t="shared" ref="Q109" si="360">IFERROR(Q108/M108-1,0)</f>
        <v>0.1871657754010696</v>
      </c>
      <c r="R109" s="250">
        <f>IF($AL$106="Yes",'vs. Consensus'!G115,R107)</f>
        <v>0.25</v>
      </c>
      <c r="S109" s="250">
        <f>IF($AL$106="Yes",'vs. Consensus'!H115,S107)</f>
        <v>0.25</v>
      </c>
      <c r="T109" s="250">
        <f>IF($AL$106="Yes",'vs. Consensus'!I115,T107)</f>
        <v>0.25</v>
      </c>
      <c r="U109" s="250">
        <f>IF($AL$106="Yes",'vs. Consensus'!J115,U107)</f>
        <v>0.25</v>
      </c>
      <c r="V109" s="250">
        <f>IF($AL$106="Yes",'vs. Consensus'!K115,V107)</f>
        <v>0.25</v>
      </c>
      <c r="Y109" s="180">
        <f>IFERROR(Y108/X108-1,0)</f>
        <v>3.5168195718654482E-2</v>
      </c>
      <c r="Z109" s="180">
        <f>IFERROR(Z108/Y108-1,0)</f>
        <v>0.17872968980797643</v>
      </c>
      <c r="AA109" s="180">
        <f>IFERROR(AA108/Z108-1,0)</f>
        <v>0.13471177944862145</v>
      </c>
      <c r="AB109" s="180">
        <f>IFERROR(AB108/AA108-1,0)</f>
        <v>0.25</v>
      </c>
      <c r="AC109" s="250">
        <f>IF($AL$106="Yes",'vs. Consensus'!T115,AC107)</f>
        <v>0.25</v>
      </c>
      <c r="AD109" s="250">
        <f>IF($AL$106="Yes",'vs. Consensus'!U115,AD107)</f>
        <v>0.25</v>
      </c>
      <c r="AE109" s="250">
        <f>IF($AL$106="Yes",'vs. Consensus'!V115,AE107)</f>
        <v>0.25</v>
      </c>
      <c r="AF109" s="250">
        <f>IF($AL$106="Yes",'vs. Consensus'!W115,AF107)</f>
        <v>0.25</v>
      </c>
      <c r="AG109" s="250">
        <f>IF($AL$106="Yes",'vs. Consensus'!X115,AG107)</f>
        <v>0.25</v>
      </c>
      <c r="AH109" s="189"/>
    </row>
    <row r="110" spans="2:38" outlineLevel="1" x14ac:dyDescent="0.2">
      <c r="B110" s="157" t="s">
        <v>307</v>
      </c>
      <c r="C110" s="169"/>
      <c r="D110" s="169"/>
      <c r="E110" s="169"/>
      <c r="F110" s="169"/>
      <c r="G110" s="169"/>
      <c r="H110" s="169"/>
      <c r="I110" s="169"/>
      <c r="J110" s="169"/>
      <c r="K110" s="169"/>
      <c r="L110" s="169"/>
      <c r="M110" s="169"/>
      <c r="N110" s="169"/>
      <c r="O110" s="169"/>
      <c r="P110" s="169"/>
      <c r="Q110" s="169"/>
      <c r="AB110" s="169">
        <f>IF($AL$106="Yes",0,'Data Center Demand Build'!E25)</f>
        <v>76.038584415005204</v>
      </c>
      <c r="AC110" s="169">
        <f>IF($AL$106="Yes",0,'Data Center Demand Build'!F25)</f>
        <v>200.72454909124258</v>
      </c>
      <c r="AD110" s="169">
        <f>IF($AL$106="Yes",0,'Data Center Demand Build'!G25)</f>
        <v>491.22070768160165</v>
      </c>
      <c r="AE110" s="169">
        <f>IF($AL$106="Yes",0,'Data Center Demand Build'!H25)</f>
        <v>653.49202437168208</v>
      </c>
      <c r="AF110" s="169">
        <f>IF($AL$106="Yes",0,'Data Center Demand Build'!I25)</f>
        <v>788.58705426382517</v>
      </c>
      <c r="AG110" s="169">
        <f>IF($AL$106="Yes",0,'Data Center Demand Build'!J25)</f>
        <v>951.60999516468644</v>
      </c>
      <c r="AH110" s="189"/>
    </row>
    <row r="111" spans="2:38" outlineLevel="1" x14ac:dyDescent="0.2">
      <c r="B111" s="162" t="s">
        <v>310</v>
      </c>
      <c r="C111" s="174">
        <v>156</v>
      </c>
      <c r="D111" s="174">
        <v>163</v>
      </c>
      <c r="E111" s="174">
        <v>170</v>
      </c>
      <c r="F111" s="174">
        <v>165</v>
      </c>
      <c r="G111" s="174">
        <v>165</v>
      </c>
      <c r="H111" s="174">
        <v>167</v>
      </c>
      <c r="I111" s="174">
        <v>171</v>
      </c>
      <c r="J111" s="174">
        <v>174</v>
      </c>
      <c r="K111" s="174">
        <v>200</v>
      </c>
      <c r="L111" s="174">
        <v>201</v>
      </c>
      <c r="M111" s="174">
        <v>187</v>
      </c>
      <c r="N111" s="174">
        <v>210</v>
      </c>
      <c r="O111" s="174">
        <v>208</v>
      </c>
      <c r="P111" s="174">
        <v>213</v>
      </c>
      <c r="Q111" s="174">
        <v>222</v>
      </c>
      <c r="R111" s="233">
        <f t="shared" ref="R111:V111" si="361">SUM(R108,R110)</f>
        <v>262.5</v>
      </c>
      <c r="S111" s="233">
        <f t="shared" si="361"/>
        <v>260</v>
      </c>
      <c r="T111" s="233">
        <f t="shared" si="361"/>
        <v>266.25</v>
      </c>
      <c r="U111" s="233">
        <f t="shared" si="361"/>
        <v>277.5</v>
      </c>
      <c r="V111" s="233">
        <f t="shared" si="361"/>
        <v>328.125</v>
      </c>
      <c r="X111" s="233">
        <f>SUM(C111:F111)</f>
        <v>654</v>
      </c>
      <c r="Y111" s="233">
        <f>SUM(G111:J111)</f>
        <v>677</v>
      </c>
      <c r="Z111" s="233">
        <f>SUM(K111:N111)</f>
        <v>798</v>
      </c>
      <c r="AA111" s="233">
        <f>SUM(O111:R111)</f>
        <v>905.5</v>
      </c>
      <c r="AB111" s="233">
        <f>SUM(S111:V111)</f>
        <v>1131.875</v>
      </c>
      <c r="AC111" s="233">
        <f>SUM(AC108,AC110)</f>
        <v>1615.5682990912426</v>
      </c>
      <c r="AD111" s="233">
        <f>SUM(AD108,AD110)</f>
        <v>2259.7753951816017</v>
      </c>
      <c r="AE111" s="233">
        <f>SUM(AE108,AE110)</f>
        <v>2864.185383746682</v>
      </c>
      <c r="AF111" s="233">
        <f>SUM(AF108,AF110)</f>
        <v>3551.9537534825749</v>
      </c>
      <c r="AG111" s="233">
        <f>SUM(AG108,AG110)</f>
        <v>4405.8183691881241</v>
      </c>
      <c r="AI111" s="197">
        <f>RATE(6,,-AA111,AG111)</f>
        <v>0.30173632026635527</v>
      </c>
      <c r="AJ111" s="197"/>
    </row>
    <row r="112" spans="2:38" outlineLevel="1" x14ac:dyDescent="0.2">
      <c r="B112" s="168" t="s">
        <v>199</v>
      </c>
      <c r="C112" s="169"/>
      <c r="D112" s="169"/>
      <c r="E112" s="169"/>
      <c r="F112" s="169"/>
      <c r="G112" s="180">
        <f t="shared" ref="G112" si="362">IFERROR(G111/C111-1,0)</f>
        <v>5.7692307692307709E-2</v>
      </c>
      <c r="H112" s="180">
        <f t="shared" ref="H112" si="363">IFERROR(H111/D111-1,0)</f>
        <v>2.4539877300613577E-2</v>
      </c>
      <c r="I112" s="180">
        <f t="shared" ref="I112" si="364">IFERROR(I111/E111-1,0)</f>
        <v>5.8823529411764497E-3</v>
      </c>
      <c r="J112" s="180">
        <f t="shared" ref="J112" si="365">IFERROR(J111/F111-1,0)</f>
        <v>5.4545454545454453E-2</v>
      </c>
      <c r="K112" s="180">
        <f t="shared" ref="K112" si="366">IFERROR(K111/G111-1,0)</f>
        <v>0.21212121212121215</v>
      </c>
      <c r="L112" s="180">
        <f t="shared" ref="L112" si="367">IFERROR(L111/H111-1,0)</f>
        <v>0.20359281437125754</v>
      </c>
      <c r="M112" s="180">
        <f t="shared" ref="M112" si="368">IFERROR(M111/I111-1,0)</f>
        <v>9.3567251461988299E-2</v>
      </c>
      <c r="N112" s="180">
        <f t="shared" ref="N112" si="369">IFERROR(N111/J111-1,0)</f>
        <v>0.2068965517241379</v>
      </c>
      <c r="O112" s="180">
        <f>IFERROR(O111/K111-1,0)</f>
        <v>4.0000000000000036E-2</v>
      </c>
      <c r="P112" s="180">
        <f t="shared" ref="P112" si="370">IFERROR(P111/L111-1,0)</f>
        <v>5.9701492537313383E-2</v>
      </c>
      <c r="Q112" s="180">
        <f t="shared" ref="Q112" si="371">IFERROR(Q111/M111-1,0)</f>
        <v>0.1871657754010696</v>
      </c>
      <c r="R112" s="180">
        <f t="shared" ref="R112" si="372">IFERROR(R111/N111-1,0)</f>
        <v>0.25</v>
      </c>
      <c r="S112" s="180">
        <f t="shared" ref="S112" si="373">IFERROR(S111/O111-1,0)</f>
        <v>0.25</v>
      </c>
      <c r="T112" s="180">
        <f t="shared" ref="T112" si="374">IFERROR(T111/P111-1,0)</f>
        <v>0.25</v>
      </c>
      <c r="U112" s="180">
        <f t="shared" ref="U112" si="375">IFERROR(U111/Q111-1,0)</f>
        <v>0.25</v>
      </c>
      <c r="V112" s="180">
        <f t="shared" ref="V112" si="376">IFERROR(V111/R111-1,0)</f>
        <v>0.25</v>
      </c>
      <c r="Y112" s="180">
        <f>IFERROR(Y111/X111-1,0)</f>
        <v>3.5168195718654482E-2</v>
      </c>
      <c r="Z112" s="180">
        <f>IFERROR(Z111/Y111-1,0)</f>
        <v>0.17872968980797643</v>
      </c>
      <c r="AA112" s="180">
        <f>IFERROR(AA111/Z111-1,0)</f>
        <v>0.13471177944862145</v>
      </c>
      <c r="AB112" s="180">
        <f>IFERROR(AB111/AA111-1,0)</f>
        <v>0.25</v>
      </c>
      <c r="AC112" s="180">
        <f t="shared" ref="AC112:AG112" si="377">IFERROR(AC111/AB111-1,0)</f>
        <v>0.42733808865046274</v>
      </c>
      <c r="AD112" s="180">
        <f t="shared" si="377"/>
        <v>0.39874952761373539</v>
      </c>
      <c r="AE112" s="180">
        <f t="shared" si="377"/>
        <v>0.26746462938477489</v>
      </c>
      <c r="AF112" s="180">
        <f t="shared" si="377"/>
        <v>0.24012704402401952</v>
      </c>
      <c r="AG112" s="180">
        <f t="shared" si="377"/>
        <v>0.24039294286091506</v>
      </c>
    </row>
    <row r="113" spans="2:36" outlineLevel="1" x14ac:dyDescent="0.2">
      <c r="B113" s="157" t="s">
        <v>6</v>
      </c>
      <c r="C113" s="182">
        <v>36</v>
      </c>
      <c r="D113" s="182">
        <v>43</v>
      </c>
      <c r="E113" s="182">
        <v>32</v>
      </c>
      <c r="F113" s="182">
        <v>30</v>
      </c>
      <c r="G113" s="182">
        <v>31</v>
      </c>
      <c r="H113" s="182">
        <v>32</v>
      </c>
      <c r="I113" s="182">
        <v>29</v>
      </c>
      <c r="J113" s="182">
        <v>26</v>
      </c>
      <c r="K113" s="182">
        <v>35</v>
      </c>
      <c r="L113" s="182">
        <v>37</v>
      </c>
      <c r="M113" s="182">
        <v>31</v>
      </c>
      <c r="N113" s="182">
        <v>28</v>
      </c>
      <c r="O113" s="182">
        <v>40</v>
      </c>
      <c r="P113" s="182">
        <v>38</v>
      </c>
      <c r="Q113" s="182">
        <v>39</v>
      </c>
      <c r="R113" s="182">
        <f>IFERROR(N113*(1+R114),0)</f>
        <v>38.944285714285712</v>
      </c>
      <c r="S113" s="182">
        <f t="shared" ref="S113" si="378">IFERROR(O113*(1+S114),0)</f>
        <v>40.716198979591837</v>
      </c>
      <c r="T113" s="182">
        <f t="shared" ref="T113" si="379">IFERROR(P113*(1+T114),0)</f>
        <v>41.512117346938773</v>
      </c>
      <c r="U113" s="182">
        <f t="shared" ref="U113" si="380">IFERROR(Q113*(1+U114),0)</f>
        <v>41.536989795918359</v>
      </c>
      <c r="V113" s="182">
        <f t="shared" ref="V113" si="381">IFERROR(R113*(1+V114),0)</f>
        <v>42.780612244897959</v>
      </c>
      <c r="X113" s="182">
        <f>SUM(C113:F113)</f>
        <v>141</v>
      </c>
      <c r="Y113" s="182">
        <f>SUM(G113:J113)</f>
        <v>118</v>
      </c>
      <c r="Z113" s="182">
        <f>SUM(K113:N113)</f>
        <v>131</v>
      </c>
      <c r="AA113" s="182">
        <f>SUM(O113:R113)</f>
        <v>155.94428571428571</v>
      </c>
      <c r="AB113" s="182">
        <f>SUM(S113:V113)</f>
        <v>166.54591836734693</v>
      </c>
      <c r="AC113" s="182">
        <f>IFERROR(AB113*(1+AC114),0)</f>
        <v>187.72331632653058</v>
      </c>
      <c r="AD113" s="182">
        <f t="shared" ref="AD113" si="382">IFERROR(AC113*(1+AD114),0)</f>
        <v>201.51658163265304</v>
      </c>
      <c r="AE113" s="182">
        <f t="shared" ref="AE113" si="383">IFERROR(AD113*(1+AE114),0)</f>
        <v>220.96683673469383</v>
      </c>
      <c r="AF113" s="182">
        <f t="shared" ref="AF113" si="384">IFERROR(AE113*(1+AF114),0)</f>
        <v>232.01517857142852</v>
      </c>
      <c r="AG113" s="182">
        <f t="shared" ref="AG113" si="385">IFERROR(AF113*(1+AG114),0)</f>
        <v>243.61593749999994</v>
      </c>
      <c r="AI113" s="197">
        <f>RATE(6,,-AA113,AG113)</f>
        <v>7.7182705017605407E-2</v>
      </c>
    </row>
    <row r="114" spans="2:36" outlineLevel="1" x14ac:dyDescent="0.2">
      <c r="B114" s="168" t="s">
        <v>199</v>
      </c>
      <c r="C114" s="169"/>
      <c r="D114" s="169"/>
      <c r="E114" s="169"/>
      <c r="F114" s="169"/>
      <c r="G114" s="180">
        <f t="shared" ref="G114" si="386">IFERROR(G113/C113-1,0)</f>
        <v>-0.13888888888888884</v>
      </c>
      <c r="H114" s="180">
        <f t="shared" ref="H114" si="387">IFERROR(H113/D113-1,0)</f>
        <v>-0.2558139534883721</v>
      </c>
      <c r="I114" s="180">
        <f t="shared" ref="I114" si="388">IFERROR(I113/E113-1,0)</f>
        <v>-9.375E-2</v>
      </c>
      <c r="J114" s="180">
        <f t="shared" ref="J114" si="389">IFERROR(J113/F113-1,0)</f>
        <v>-0.1333333333333333</v>
      </c>
      <c r="K114" s="180">
        <f t="shared" ref="K114" si="390">IFERROR(K113/G113-1,0)</f>
        <v>0.12903225806451624</v>
      </c>
      <c r="L114" s="180">
        <f t="shared" ref="L114" si="391">IFERROR(L113/H113-1,0)</f>
        <v>0.15625</v>
      </c>
      <c r="M114" s="180">
        <f t="shared" ref="M114" si="392">IFERROR(M113/I113-1,0)</f>
        <v>6.8965517241379226E-2</v>
      </c>
      <c r="N114" s="180">
        <f t="shared" ref="N114" si="393">IFERROR(N113/J113-1,0)</f>
        <v>7.6923076923076872E-2</v>
      </c>
      <c r="O114" s="180">
        <f>IFERROR(O113/K113-1,0)</f>
        <v>0.14285714285714279</v>
      </c>
      <c r="P114" s="180">
        <f t="shared" ref="P114" si="394">IFERROR(P113/L113-1,0)</f>
        <v>2.7027027027026973E-2</v>
      </c>
      <c r="Q114" s="180">
        <f t="shared" ref="Q114" si="395">IFERROR(Q113/M113-1,0)</f>
        <v>0.25806451612903225</v>
      </c>
      <c r="R114" s="181">
        <f>'vs. Consensus'!G116</f>
        <v>0.39086734693877534</v>
      </c>
      <c r="S114" s="181">
        <f>'vs. Consensus'!H116</f>
        <v>1.7904974489795888E-2</v>
      </c>
      <c r="T114" s="181">
        <f>'vs. Consensus'!I116</f>
        <v>9.2424140708915026E-2</v>
      </c>
      <c r="U114" s="181">
        <f>'vs. Consensus'!J116</f>
        <v>6.5051020408163129E-2</v>
      </c>
      <c r="V114" s="181">
        <f>'vs. Consensus'!K116</f>
        <v>9.8508072756999798E-2</v>
      </c>
      <c r="Y114" s="180">
        <f>IFERROR(Y113/X113-1,0)</f>
        <v>-0.16312056737588654</v>
      </c>
      <c r="Z114" s="180">
        <f>IFERROR(Z113/Y113-1,0)</f>
        <v>0.11016949152542366</v>
      </c>
      <c r="AA114" s="180">
        <f>IFERROR(AA113/Z113-1,0)</f>
        <v>0.1904143947655399</v>
      </c>
      <c r="AB114" s="180">
        <f>IFERROR(AB113/AA113-1,0)</f>
        <v>6.7983463481855688E-2</v>
      </c>
      <c r="AC114" s="181">
        <f>'vs. Consensus'!T116</f>
        <v>0.12715651135005968</v>
      </c>
      <c r="AD114" s="181">
        <f>'vs. Consensus'!U116</f>
        <v>7.3476569538810654E-2</v>
      </c>
      <c r="AE114" s="181">
        <f>'vs. Consensus'!V116</f>
        <v>9.6519377931374883E-2</v>
      </c>
      <c r="AF114" s="181">
        <v>0.05</v>
      </c>
      <c r="AG114" s="181">
        <v>0.05</v>
      </c>
    </row>
    <row r="115" spans="2:36" outlineLevel="1" x14ac:dyDescent="0.2">
      <c r="B115" s="157" t="s">
        <v>7</v>
      </c>
      <c r="C115" s="182">
        <v>19</v>
      </c>
      <c r="D115" s="182">
        <v>17</v>
      </c>
      <c r="E115" s="182">
        <v>16</v>
      </c>
      <c r="F115" s="182">
        <v>16</v>
      </c>
      <c r="G115" s="182">
        <v>16</v>
      </c>
      <c r="H115" s="182">
        <v>14</v>
      </c>
      <c r="I115" s="182">
        <v>13</v>
      </c>
      <c r="J115" s="182">
        <v>13</v>
      </c>
      <c r="K115" s="182">
        <v>11</v>
      </c>
      <c r="L115" s="182">
        <v>17</v>
      </c>
      <c r="M115" s="182">
        <v>17</v>
      </c>
      <c r="N115" s="182">
        <v>20</v>
      </c>
      <c r="O115" s="182">
        <v>14</v>
      </c>
      <c r="P115" s="182">
        <v>14</v>
      </c>
      <c r="Q115" s="182">
        <v>13</v>
      </c>
      <c r="R115" s="182">
        <f>IFERROR(N115*(1+R116),0)</f>
        <v>13.624822134387353</v>
      </c>
      <c r="S115" s="182">
        <f t="shared" ref="S115" si="396">IFERROR(O115*(1+S116),0)</f>
        <v>13.873517786561266</v>
      </c>
      <c r="T115" s="182">
        <f t="shared" ref="T115" si="397">IFERROR(P115*(1+T116),0)</f>
        <v>14.464426877470355</v>
      </c>
      <c r="U115" s="182">
        <f t="shared" ref="U115" si="398">IFERROR(Q115*(1+U116),0)</f>
        <v>14.258893280632412</v>
      </c>
      <c r="V115" s="182">
        <f t="shared" ref="V115" si="399">IFERROR(R115*(1+V116),0)</f>
        <v>15.068181818181818</v>
      </c>
      <c r="X115" s="182">
        <f>SUM(C115:F115)</f>
        <v>68</v>
      </c>
      <c r="Y115" s="182">
        <f>SUM(G115:J115)</f>
        <v>56</v>
      </c>
      <c r="Z115" s="182">
        <f>SUM(K115:N115)</f>
        <v>65</v>
      </c>
      <c r="AA115" s="182">
        <f>SUM(O115:R115)</f>
        <v>54.624822134387351</v>
      </c>
      <c r="AB115" s="182">
        <f>SUM(S115:V115)</f>
        <v>57.665019762845851</v>
      </c>
      <c r="AC115" s="182">
        <f>IFERROR(AB115*(1+AC116),0)</f>
        <v>64.794466403162062</v>
      </c>
      <c r="AD115" s="182">
        <f t="shared" ref="AD115" si="400">IFERROR(AC115*(1+AD116),0)</f>
        <v>69.059288537549406</v>
      </c>
      <c r="AE115" s="182">
        <f t="shared" ref="AE115" si="401">IFERROR(AD115*(1+AE116),0)</f>
        <v>75.841897233201578</v>
      </c>
      <c r="AF115" s="182">
        <f t="shared" ref="AF115" si="402">IFERROR(AE115*(1+AF116),0)</f>
        <v>79.633992094861654</v>
      </c>
      <c r="AG115" s="182">
        <f t="shared" ref="AG115" si="403">IFERROR(AF115*(1+AG116),0)</f>
        <v>83.615691699604739</v>
      </c>
      <c r="AI115" s="197">
        <f>RATE(6,,-AA115,AG115)</f>
        <v>7.3535206890749896E-2</v>
      </c>
    </row>
    <row r="116" spans="2:36" outlineLevel="1" x14ac:dyDescent="0.2">
      <c r="B116" s="168" t="s">
        <v>199</v>
      </c>
      <c r="C116" s="169"/>
      <c r="D116" s="169"/>
      <c r="E116" s="169"/>
      <c r="F116" s="169"/>
      <c r="G116" s="180">
        <f t="shared" ref="G116" si="404">IFERROR(G115/C115-1,0)</f>
        <v>-0.15789473684210531</v>
      </c>
      <c r="H116" s="180">
        <f t="shared" ref="H116" si="405">IFERROR(H115/D115-1,0)</f>
        <v>-0.17647058823529416</v>
      </c>
      <c r="I116" s="180">
        <f t="shared" ref="I116" si="406">IFERROR(I115/E115-1,0)</f>
        <v>-0.1875</v>
      </c>
      <c r="J116" s="180">
        <f t="shared" ref="J116" si="407">IFERROR(J115/F115-1,0)</f>
        <v>-0.1875</v>
      </c>
      <c r="K116" s="180">
        <f t="shared" ref="K116" si="408">IFERROR(K115/G115-1,0)</f>
        <v>-0.3125</v>
      </c>
      <c r="L116" s="180">
        <f t="shared" ref="L116" si="409">IFERROR(L115/H115-1,0)</f>
        <v>0.21428571428571419</v>
      </c>
      <c r="M116" s="180">
        <f t="shared" ref="M116" si="410">IFERROR(M115/I115-1,0)</f>
        <v>0.30769230769230771</v>
      </c>
      <c r="N116" s="180">
        <f t="shared" ref="N116" si="411">IFERROR(N115/J115-1,0)</f>
        <v>0.53846153846153855</v>
      </c>
      <c r="O116" s="180">
        <f>IFERROR(O115/K115-1,0)</f>
        <v>0.27272727272727271</v>
      </c>
      <c r="P116" s="180">
        <f t="shared" ref="P116" si="412">IFERROR(P115/L115-1,0)</f>
        <v>-0.17647058823529416</v>
      </c>
      <c r="Q116" s="180">
        <f t="shared" ref="Q116" si="413">IFERROR(Q115/M115-1,0)</f>
        <v>-0.23529411764705888</v>
      </c>
      <c r="R116" s="181">
        <f>'vs. Consensus'!G117</f>
        <v>-0.31875889328063234</v>
      </c>
      <c r="S116" s="181">
        <f>'vs. Consensus'!H117</f>
        <v>-9.0344438170524288E-3</v>
      </c>
      <c r="T116" s="181">
        <f>'vs. Consensus'!I117</f>
        <v>3.317334839073971E-2</v>
      </c>
      <c r="U116" s="181">
        <f>'vs. Consensus'!J117</f>
        <v>9.6837944664031728E-2</v>
      </c>
      <c r="V116" s="181">
        <f>'vs. Consensus'!K117</f>
        <v>0.10593603861819267</v>
      </c>
      <c r="Y116" s="180">
        <f>IFERROR(Y115/X115-1,0)</f>
        <v>-0.17647058823529416</v>
      </c>
      <c r="Z116" s="180">
        <f>IFERROR(Z115/Y115-1,0)</f>
        <v>0.16071428571428581</v>
      </c>
      <c r="AA116" s="180">
        <f>IFERROR(AA115/Z115-1,0)</f>
        <v>-0.15961812100942541</v>
      </c>
      <c r="AB116" s="180">
        <f>IFERROR(AB115/AA115-1,0)</f>
        <v>5.5655973047912921E-2</v>
      </c>
      <c r="AC116" s="181">
        <f>'vs. Consensus'!T117</f>
        <v>0.12363555357540656</v>
      </c>
      <c r="AD116" s="181">
        <f>'vs. Consensus'!U117</f>
        <v>6.5820777160983335E-2</v>
      </c>
      <c r="AE116" s="181">
        <f>'vs. Consensus'!V117</f>
        <v>9.8214285714285587E-2</v>
      </c>
      <c r="AF116" s="181">
        <v>0.05</v>
      </c>
      <c r="AG116" s="181">
        <v>0.05</v>
      </c>
    </row>
    <row r="117" spans="2:36" outlineLevel="1" x14ac:dyDescent="0.2">
      <c r="B117" s="157" t="s">
        <v>8</v>
      </c>
      <c r="C117" s="182">
        <v>0</v>
      </c>
      <c r="D117" s="182">
        <v>0</v>
      </c>
      <c r="E117" s="182">
        <v>0</v>
      </c>
      <c r="F117" s="182">
        <v>0</v>
      </c>
      <c r="G117" s="182">
        <v>0</v>
      </c>
      <c r="H117" s="182">
        <v>0</v>
      </c>
      <c r="I117" s="182">
        <v>0</v>
      </c>
      <c r="J117" s="182">
        <v>0</v>
      </c>
      <c r="K117" s="182">
        <v>0</v>
      </c>
      <c r="L117" s="182">
        <v>0</v>
      </c>
      <c r="M117" s="182">
        <v>0</v>
      </c>
      <c r="N117" s="182">
        <v>0</v>
      </c>
      <c r="O117" s="182">
        <v>0</v>
      </c>
      <c r="P117" s="182">
        <v>0</v>
      </c>
      <c r="Q117" s="182">
        <v>0</v>
      </c>
      <c r="R117" s="182">
        <f>IFERROR(N117*(1+R118),0)</f>
        <v>0</v>
      </c>
      <c r="S117" s="182">
        <f t="shared" ref="S117" si="414">IFERROR(O117*(1+S118),0)</f>
        <v>0</v>
      </c>
      <c r="T117" s="182">
        <f t="shared" ref="T117" si="415">IFERROR(P117*(1+T118),0)</f>
        <v>0</v>
      </c>
      <c r="U117" s="182">
        <f t="shared" ref="U117" si="416">IFERROR(Q117*(1+U118),0)</f>
        <v>0</v>
      </c>
      <c r="V117" s="182">
        <f t="shared" ref="V117" si="417">IFERROR(R117*(1+V118),0)</f>
        <v>0</v>
      </c>
      <c r="X117" s="182">
        <f>SUM(C117:F117)</f>
        <v>0</v>
      </c>
      <c r="Y117" s="182">
        <f>SUM(G117:J117)</f>
        <v>0</v>
      </c>
      <c r="Z117" s="182">
        <f>SUM(K117:N117)</f>
        <v>0</v>
      </c>
      <c r="AA117" s="182">
        <f>SUM(O117:R117)</f>
        <v>0</v>
      </c>
      <c r="AB117" s="182">
        <f>SUM(S117:V117)</f>
        <v>0</v>
      </c>
      <c r="AC117" s="182">
        <f>IFERROR(AB117*(1+AC118),0)</f>
        <v>0</v>
      </c>
      <c r="AD117" s="182">
        <f t="shared" ref="AD117" si="418">IFERROR(AC117*(1+AD118),0)</f>
        <v>0</v>
      </c>
      <c r="AE117" s="182">
        <f t="shared" ref="AE117" si="419">IFERROR(AD117*(1+AE118),0)</f>
        <v>0</v>
      </c>
      <c r="AF117" s="182">
        <f t="shared" ref="AF117" si="420">IFERROR(AE117*(1+AF118),0)</f>
        <v>0</v>
      </c>
      <c r="AG117" s="182">
        <f t="shared" ref="AG117" si="421">IFERROR(AF117*(1+AG118),0)</f>
        <v>0</v>
      </c>
    </row>
    <row r="118" spans="2:36" outlineLevel="1" x14ac:dyDescent="0.2">
      <c r="B118" s="168" t="s">
        <v>199</v>
      </c>
      <c r="C118" s="169"/>
      <c r="D118" s="169"/>
      <c r="E118" s="169"/>
      <c r="F118" s="169"/>
      <c r="G118" s="180">
        <f t="shared" ref="G118" si="422">IFERROR(G117/C117-1,0)</f>
        <v>0</v>
      </c>
      <c r="H118" s="180">
        <f t="shared" ref="H118" si="423">IFERROR(H117/D117-1,0)</f>
        <v>0</v>
      </c>
      <c r="I118" s="180">
        <f t="shared" ref="I118" si="424">IFERROR(I117/E117-1,0)</f>
        <v>0</v>
      </c>
      <c r="J118" s="180">
        <f t="shared" ref="J118" si="425">IFERROR(J117/F117-1,0)</f>
        <v>0</v>
      </c>
      <c r="K118" s="180">
        <f t="shared" ref="K118" si="426">IFERROR(K117/G117-1,0)</f>
        <v>0</v>
      </c>
      <c r="L118" s="180">
        <f t="shared" ref="L118" si="427">IFERROR(L117/H117-1,0)</f>
        <v>0</v>
      </c>
      <c r="M118" s="180">
        <f t="shared" ref="M118" si="428">IFERROR(M117/I117-1,0)</f>
        <v>0</v>
      </c>
      <c r="N118" s="180">
        <f t="shared" ref="N118" si="429">IFERROR(N117/J117-1,0)</f>
        <v>0</v>
      </c>
      <c r="O118" s="180">
        <f>IFERROR(O117/K117-1,0)</f>
        <v>0</v>
      </c>
      <c r="P118" s="180">
        <f t="shared" ref="P118" si="430">IFERROR(P117/L117-1,0)</f>
        <v>0</v>
      </c>
      <c r="Q118" s="180">
        <f t="shared" ref="Q118" si="431">IFERROR(Q117/M117-1,0)</f>
        <v>0</v>
      </c>
      <c r="R118" s="181">
        <f>Q118</f>
        <v>0</v>
      </c>
      <c r="S118" s="181">
        <f t="shared" ref="S118:V118" si="432">R118</f>
        <v>0</v>
      </c>
      <c r="T118" s="181">
        <f t="shared" si="432"/>
        <v>0</v>
      </c>
      <c r="U118" s="181">
        <f t="shared" si="432"/>
        <v>0</v>
      </c>
      <c r="V118" s="181">
        <f t="shared" si="432"/>
        <v>0</v>
      </c>
      <c r="Y118" s="180">
        <f>IFERROR(Y117/X117-1,0)</f>
        <v>0</v>
      </c>
      <c r="Z118" s="180">
        <f>IFERROR(Z117/Y117-1,0)</f>
        <v>0</v>
      </c>
      <c r="AA118" s="180">
        <f>IFERROR(AA117/Z117-1,0)</f>
        <v>0</v>
      </c>
      <c r="AB118" s="180">
        <f>IFERROR(AB117/AA117-1,0)</f>
        <v>0</v>
      </c>
      <c r="AC118" s="181">
        <f>AB118</f>
        <v>0</v>
      </c>
      <c r="AD118" s="181">
        <f t="shared" ref="AD118:AG118" si="433">AC118</f>
        <v>0</v>
      </c>
      <c r="AE118" s="181">
        <f t="shared" si="433"/>
        <v>0</v>
      </c>
      <c r="AF118" s="181">
        <f t="shared" si="433"/>
        <v>0</v>
      </c>
      <c r="AG118" s="181">
        <f t="shared" si="433"/>
        <v>0</v>
      </c>
    </row>
    <row r="119" spans="2:36" ht="15" outlineLevel="1" x14ac:dyDescent="0.25">
      <c r="B119" s="164" t="s">
        <v>196</v>
      </c>
      <c r="C119" s="170">
        <f t="shared" ref="C119:K119" si="434">SUM(C111,C113,C115,C117)</f>
        <v>211</v>
      </c>
      <c r="D119" s="170">
        <f t="shared" si="434"/>
        <v>223</v>
      </c>
      <c r="E119" s="170">
        <f t="shared" si="434"/>
        <v>218</v>
      </c>
      <c r="F119" s="170">
        <f t="shared" si="434"/>
        <v>211</v>
      </c>
      <c r="G119" s="170">
        <f t="shared" si="434"/>
        <v>212</v>
      </c>
      <c r="H119" s="170">
        <f t="shared" si="434"/>
        <v>213</v>
      </c>
      <c r="I119" s="170">
        <f t="shared" si="434"/>
        <v>213</v>
      </c>
      <c r="J119" s="170">
        <f t="shared" si="434"/>
        <v>213</v>
      </c>
      <c r="K119" s="170">
        <f t="shared" si="434"/>
        <v>246</v>
      </c>
      <c r="L119" s="170">
        <f t="shared" ref="L119:V119" si="435">SUM(L111,L113,L115,L117)</f>
        <v>255</v>
      </c>
      <c r="M119" s="170">
        <f t="shared" si="435"/>
        <v>235</v>
      </c>
      <c r="N119" s="170">
        <f t="shared" si="435"/>
        <v>258</v>
      </c>
      <c r="O119" s="170">
        <f t="shared" si="435"/>
        <v>262</v>
      </c>
      <c r="P119" s="170">
        <f t="shared" si="435"/>
        <v>265</v>
      </c>
      <c r="Q119" s="170">
        <f t="shared" si="435"/>
        <v>274</v>
      </c>
      <c r="R119" s="170">
        <f t="shared" si="435"/>
        <v>315.06910784867301</v>
      </c>
      <c r="S119" s="170">
        <f t="shared" si="435"/>
        <v>314.58971676615306</v>
      </c>
      <c r="T119" s="170">
        <f t="shared" si="435"/>
        <v>322.22654422440917</v>
      </c>
      <c r="U119" s="170">
        <f t="shared" si="435"/>
        <v>333.29588307655081</v>
      </c>
      <c r="V119" s="170">
        <f t="shared" si="435"/>
        <v>385.97379406307977</v>
      </c>
      <c r="X119" s="170">
        <f>SUM(I119:L119)</f>
        <v>927</v>
      </c>
      <c r="Y119" s="170">
        <f>SUM(J119:M119)</f>
        <v>949</v>
      </c>
      <c r="Z119" s="170">
        <f>SUM(K119:N119)</f>
        <v>994</v>
      </c>
      <c r="AA119" s="170">
        <f>SUM(O119:R119)</f>
        <v>1116.069107848673</v>
      </c>
      <c r="AB119" s="170">
        <f>SUM(S119:V119)</f>
        <v>1356.0859381301927</v>
      </c>
      <c r="AC119" s="170">
        <f t="shared" ref="AC119:AG119" si="436">SUM(AC111,AC113,AC115,AC117)</f>
        <v>1868.0860818209351</v>
      </c>
      <c r="AD119" s="170">
        <f t="shared" si="436"/>
        <v>2530.3512653518042</v>
      </c>
      <c r="AE119" s="170">
        <f t="shared" si="436"/>
        <v>3160.9941177145774</v>
      </c>
      <c r="AF119" s="170">
        <f t="shared" si="436"/>
        <v>3863.602924148865</v>
      </c>
      <c r="AG119" s="170">
        <f t="shared" si="436"/>
        <v>4733.0499983877289</v>
      </c>
      <c r="AI119" s="197">
        <f>RATE(6,,-AA119,AG119)</f>
        <v>0.2722574446125155</v>
      </c>
      <c r="AJ119" s="158"/>
    </row>
    <row r="120" spans="2:36" outlineLevel="1" x14ac:dyDescent="0.2">
      <c r="C120" s="169"/>
      <c r="D120" s="169"/>
      <c r="E120" s="169"/>
      <c r="F120" s="169"/>
      <c r="G120" s="169"/>
      <c r="H120" s="169"/>
      <c r="I120" s="169"/>
      <c r="J120" s="169"/>
      <c r="K120" s="169"/>
      <c r="L120" s="169"/>
      <c r="M120" s="169"/>
      <c r="N120" s="169"/>
      <c r="O120" s="169"/>
      <c r="P120" s="169"/>
      <c r="Q120" s="169"/>
      <c r="X120" s="180"/>
      <c r="Y120" s="180">
        <f>IFERROR(Y119/X119-1,0)</f>
        <v>2.373247033441217E-2</v>
      </c>
      <c r="Z120" s="180">
        <f>IFERROR(Z119/Y119-1,0)</f>
        <v>4.7418335089568053E-2</v>
      </c>
      <c r="AA120" s="180">
        <f>IFERROR(AA119/Z119-1,0)</f>
        <v>0.12280594350973129</v>
      </c>
      <c r="AB120" s="180">
        <f>IFERROR(AB119/AA119-1,0)</f>
        <v>0.2150555271117347</v>
      </c>
      <c r="AC120" s="180">
        <f t="shared" ref="AC120" si="437">IFERROR(AC119/AB119-1,0)</f>
        <v>0.3775572987628657</v>
      </c>
      <c r="AD120" s="180">
        <f t="shared" ref="AD120" si="438">IFERROR(AD119/AC119-1,0)</f>
        <v>0.35451534593380174</v>
      </c>
      <c r="AE120" s="180">
        <f t="shared" ref="AE120" si="439">IFERROR(AE119/AD119-1,0)</f>
        <v>0.24923134625543497</v>
      </c>
      <c r="AF120" s="180">
        <f t="shared" ref="AF120" si="440">IFERROR(AF119/AE119-1,0)</f>
        <v>0.22227463268494763</v>
      </c>
      <c r="AG120" s="180">
        <f t="shared" ref="AG120" si="441">IFERROR(AG119/AF119-1,0)</f>
        <v>0.22503530805521366</v>
      </c>
    </row>
    <row r="121" spans="2:36" outlineLevel="1" x14ac:dyDescent="0.2">
      <c r="C121" s="169"/>
      <c r="D121" s="169"/>
      <c r="E121" s="169"/>
      <c r="F121" s="169"/>
      <c r="G121" s="169"/>
      <c r="H121" s="169"/>
      <c r="I121" s="169"/>
      <c r="J121" s="169"/>
      <c r="K121" s="169"/>
      <c r="L121" s="169"/>
      <c r="M121" s="169"/>
      <c r="N121" s="169"/>
      <c r="O121" s="169"/>
      <c r="P121" s="169"/>
      <c r="Q121" s="169"/>
      <c r="AA121" s="180"/>
      <c r="AB121" s="180"/>
      <c r="AC121" s="180"/>
      <c r="AD121" s="180"/>
      <c r="AE121" s="180"/>
      <c r="AF121" s="180"/>
      <c r="AG121" s="180"/>
    </row>
    <row r="122" spans="2:36" ht="15" outlineLevel="1" x14ac:dyDescent="0.25">
      <c r="B122" s="166" t="s">
        <v>104</v>
      </c>
      <c r="C122" s="170">
        <f t="shared" ref="C122:V122" si="442">SUM(C69,C85,C100,C119)</f>
        <v>1209</v>
      </c>
      <c r="D122" s="170">
        <f t="shared" si="442"/>
        <v>1195</v>
      </c>
      <c r="E122" s="170">
        <f t="shared" si="442"/>
        <v>1283</v>
      </c>
      <c r="F122" s="170">
        <f t="shared" si="442"/>
        <v>1285</v>
      </c>
      <c r="G122" s="170">
        <f t="shared" si="442"/>
        <v>1324</v>
      </c>
      <c r="H122" s="170">
        <f t="shared" si="442"/>
        <v>1393</v>
      </c>
      <c r="I122" s="170">
        <f t="shared" si="442"/>
        <v>1433</v>
      </c>
      <c r="J122" s="170">
        <f t="shared" si="442"/>
        <v>1513</v>
      </c>
      <c r="K122" s="170">
        <f t="shared" si="442"/>
        <v>1603</v>
      </c>
      <c r="L122" s="170">
        <f t="shared" si="442"/>
        <v>1648</v>
      </c>
      <c r="M122" s="170">
        <f t="shared" si="442"/>
        <v>1658</v>
      </c>
      <c r="N122" s="170">
        <f t="shared" si="442"/>
        <v>1731</v>
      </c>
      <c r="O122" s="170">
        <f t="shared" si="442"/>
        <v>1824</v>
      </c>
      <c r="P122" s="170">
        <f t="shared" si="442"/>
        <v>1880</v>
      </c>
      <c r="Q122" s="170">
        <f t="shared" si="442"/>
        <v>1835</v>
      </c>
      <c r="R122" s="170">
        <f t="shared" si="442"/>
        <v>1902.2252380952382</v>
      </c>
      <c r="S122" s="170">
        <f t="shared" si="442"/>
        <v>1928.3603174603172</v>
      </c>
      <c r="T122" s="170">
        <f t="shared" si="442"/>
        <v>1989.4893492063493</v>
      </c>
      <c r="U122" s="170">
        <f t="shared" si="442"/>
        <v>2004.6023809523811</v>
      </c>
      <c r="V122" s="170">
        <f t="shared" si="442"/>
        <v>2132.1570793650794</v>
      </c>
      <c r="X122" s="170">
        <v>4972</v>
      </c>
      <c r="Y122" s="170">
        <v>5663</v>
      </c>
      <c r="Z122" s="170">
        <f>SUM(K122:N122)</f>
        <v>6640</v>
      </c>
      <c r="AA122" s="170">
        <f>SUM(O122:R122)</f>
        <v>7441.2252380952377</v>
      </c>
      <c r="AB122" s="170">
        <f>SUM(S122:V122)</f>
        <v>8054.6091269841272</v>
      </c>
      <c r="AC122" s="170">
        <f>SUM(AC69,AC85,AC100,AC119)</f>
        <v>9456.2147752817182</v>
      </c>
      <c r="AD122" s="170">
        <f>SUM(AD69,AD85,AD100,AD119)</f>
        <v>10546.104918991126</v>
      </c>
      <c r="AE122" s="170">
        <f>SUM(AE69,AE85,AE100,AE119)</f>
        <v>12127.680621841919</v>
      </c>
      <c r="AF122" s="170">
        <f>SUM(AF69,AF85,AF100,AF119)</f>
        <v>13278.623753482574</v>
      </c>
      <c r="AG122" s="170">
        <f>SUM(AG69,AG85,AG100,AG119)</f>
        <v>14618.821869188125</v>
      </c>
      <c r="AI122" s="197">
        <f>RATE(6,,-AA122,AG122)</f>
        <v>0.11912342761418562</v>
      </c>
    </row>
    <row r="123" spans="2:36" outlineLevel="1" x14ac:dyDescent="0.2">
      <c r="B123" s="185" t="s">
        <v>298</v>
      </c>
      <c r="C123" s="169"/>
      <c r="D123" s="169"/>
      <c r="E123" s="169"/>
      <c r="F123" s="169"/>
      <c r="G123" s="180">
        <f t="shared" ref="G123" si="443">IFERROR(G122/C122-1,0)</f>
        <v>9.5119933829611147E-2</v>
      </c>
      <c r="H123" s="180">
        <f t="shared" ref="H123" si="444">IFERROR(H122/D122-1,0)</f>
        <v>0.16569037656903762</v>
      </c>
      <c r="I123" s="180">
        <f t="shared" ref="I123" si="445">IFERROR(I122/E122-1,0)</f>
        <v>0.11691348402182378</v>
      </c>
      <c r="J123" s="180">
        <f t="shared" ref="J123" si="446">IFERROR(J122/F122-1,0)</f>
        <v>0.17743190661478603</v>
      </c>
      <c r="K123" s="180">
        <f t="shared" ref="K123" si="447">IFERROR(K122/G122-1,0)</f>
        <v>0.2107250755287009</v>
      </c>
      <c r="L123" s="180">
        <f t="shared" ref="L123" si="448">IFERROR(L122/H122-1,0)</f>
        <v>0.1830581478822686</v>
      </c>
      <c r="M123" s="180">
        <f t="shared" ref="M123" si="449">IFERROR(M122/I122-1,0)</f>
        <v>0.15701325889741802</v>
      </c>
      <c r="N123" s="180">
        <f t="shared" ref="N123" si="450">IFERROR(N122/J122-1,0)</f>
        <v>0.1440846001321876</v>
      </c>
      <c r="O123" s="180">
        <f>IFERROR(O122/K122-1,0)</f>
        <v>0.13786650031191505</v>
      </c>
      <c r="P123" s="180">
        <f t="shared" ref="P123" si="451">IFERROR(P122/L122-1,0)</f>
        <v>0.14077669902912615</v>
      </c>
      <c r="Q123" s="180">
        <f t="shared" ref="Q123" si="452">IFERROR(Q122/M122-1,0)</f>
        <v>0.10675512665862485</v>
      </c>
      <c r="R123" s="180">
        <f t="shared" ref="R123" si="453">IFERROR(R122/N122-1,0)</f>
        <v>9.8916948639652391E-2</v>
      </c>
      <c r="S123" s="180">
        <f t="shared" ref="S123" si="454">IFERROR(S122/O122-1,0)</f>
        <v>5.7215086326928288E-2</v>
      </c>
      <c r="T123" s="180">
        <f t="shared" ref="T123" si="455">IFERROR(T122/P122-1,0)</f>
        <v>5.8239015535292094E-2</v>
      </c>
      <c r="U123" s="180">
        <f t="shared" ref="U123" si="456">IFERROR(U122/Q122-1,0)</f>
        <v>9.2426365641624653E-2</v>
      </c>
      <c r="V123" s="180">
        <f t="shared" ref="V123" si="457">IFERROR(V122/R122-1,0)</f>
        <v>0.12087519220388421</v>
      </c>
      <c r="Y123" s="180">
        <f>IFERROR(Y122/X122-1,0)</f>
        <v>0.13897827835880938</v>
      </c>
      <c r="Z123" s="180">
        <f>IFERROR(Z122/Y122-1,0)</f>
        <v>0.17252339749249512</v>
      </c>
      <c r="AA123" s="180">
        <f>IFERROR(AA122/Z122-1,0)</f>
        <v>0.12066645152036704</v>
      </c>
      <c r="AB123" s="180">
        <f>IFERROR(AB122/AA122-1,0)</f>
        <v>8.2430496223750982E-2</v>
      </c>
      <c r="AC123" s="180">
        <f t="shared" ref="AC123:AG123" si="458">IFERROR(AC122/AB122-1,0)</f>
        <v>0.17401286967507912</v>
      </c>
      <c r="AD123" s="180">
        <f t="shared" si="458"/>
        <v>0.11525649211758071</v>
      </c>
      <c r="AE123" s="180">
        <f t="shared" si="458"/>
        <v>0.14996775729044143</v>
      </c>
      <c r="AF123" s="180">
        <f t="shared" si="458"/>
        <v>9.4902163697138331E-2</v>
      </c>
      <c r="AG123" s="180">
        <f t="shared" si="458"/>
        <v>0.10092899238552921</v>
      </c>
    </row>
    <row r="124" spans="2:36" outlineLevel="1" x14ac:dyDescent="0.2">
      <c r="C124" s="169"/>
      <c r="D124" s="169"/>
      <c r="E124" s="169"/>
      <c r="F124" s="169"/>
      <c r="G124" s="169"/>
      <c r="H124" s="169"/>
      <c r="I124" s="169"/>
      <c r="J124" s="169"/>
      <c r="K124" s="169"/>
      <c r="L124" s="169"/>
      <c r="M124" s="169"/>
      <c r="N124" s="169"/>
      <c r="O124" s="169"/>
      <c r="P124" s="169"/>
      <c r="Q124" s="172"/>
      <c r="AA124" s="180"/>
      <c r="AB124" s="180"/>
    </row>
    <row r="125" spans="2:36" outlineLevel="1" x14ac:dyDescent="0.2">
      <c r="C125" s="169"/>
      <c r="D125" s="169"/>
      <c r="E125" s="169"/>
      <c r="F125" s="169"/>
      <c r="G125" s="169"/>
      <c r="H125" s="169"/>
      <c r="I125" s="169"/>
      <c r="J125" s="169"/>
      <c r="K125" s="169"/>
      <c r="L125" s="169"/>
      <c r="M125" s="169"/>
      <c r="N125" s="169"/>
      <c r="O125" s="169"/>
      <c r="P125" s="169"/>
      <c r="Q125" s="172"/>
      <c r="AA125" s="180"/>
      <c r="AB125" s="180"/>
    </row>
    <row r="126" spans="2:36" outlineLevel="1" x14ac:dyDescent="0.2">
      <c r="B126" s="167" t="s">
        <v>381</v>
      </c>
      <c r="C126" s="173"/>
      <c r="D126" s="173"/>
      <c r="E126" s="173"/>
      <c r="F126" s="173"/>
      <c r="G126" s="173"/>
      <c r="H126" s="173"/>
      <c r="I126" s="173"/>
      <c r="J126" s="173"/>
      <c r="K126" s="173"/>
      <c r="L126" s="173"/>
      <c r="M126" s="173"/>
      <c r="N126" s="173"/>
      <c r="O126" s="173"/>
      <c r="P126" s="173"/>
      <c r="Q126" s="173"/>
    </row>
    <row r="127" spans="2:36" outlineLevel="1" x14ac:dyDescent="0.2">
      <c r="B127" s="157" t="s">
        <v>382</v>
      </c>
      <c r="C127" s="169">
        <f>C69</f>
        <v>455</v>
      </c>
      <c r="D127" s="169">
        <f t="shared" ref="D127:V127" si="459">D69</f>
        <v>468</v>
      </c>
      <c r="E127" s="169">
        <f t="shared" si="459"/>
        <v>543</v>
      </c>
      <c r="F127" s="169">
        <f t="shared" si="459"/>
        <v>563</v>
      </c>
      <c r="G127" s="169">
        <f t="shared" si="459"/>
        <v>586</v>
      </c>
      <c r="H127" s="169">
        <f t="shared" si="459"/>
        <v>625</v>
      </c>
      <c r="I127" s="169">
        <f t="shared" si="459"/>
        <v>668</v>
      </c>
      <c r="J127" s="169">
        <f t="shared" si="459"/>
        <v>727</v>
      </c>
      <c r="K127" s="169">
        <f t="shared" si="459"/>
        <v>754</v>
      </c>
      <c r="L127" s="169">
        <f t="shared" si="459"/>
        <v>771</v>
      </c>
      <c r="M127" s="169">
        <f t="shared" si="459"/>
        <v>820</v>
      </c>
      <c r="N127" s="169">
        <f t="shared" si="459"/>
        <v>884</v>
      </c>
      <c r="O127" s="169">
        <f t="shared" si="459"/>
        <v>928</v>
      </c>
      <c r="P127" s="169">
        <f t="shared" si="459"/>
        <v>979</v>
      </c>
      <c r="Q127" s="169">
        <f t="shared" si="459"/>
        <v>962</v>
      </c>
      <c r="R127" s="174">
        <f t="shared" si="459"/>
        <v>980.32881121776768</v>
      </c>
      <c r="S127" s="174">
        <f t="shared" si="459"/>
        <v>996.2380101480644</v>
      </c>
      <c r="T127" s="174">
        <f t="shared" si="459"/>
        <v>1034.7022237122781</v>
      </c>
      <c r="U127" s="174">
        <f t="shared" si="459"/>
        <v>1039.3112248258988</v>
      </c>
      <c r="V127" s="174">
        <f t="shared" si="459"/>
        <v>1077.7287157287158</v>
      </c>
      <c r="X127" s="233">
        <f t="shared" ref="X127:AG127" si="460">X69</f>
        <v>2029</v>
      </c>
      <c r="Y127" s="233">
        <f t="shared" si="460"/>
        <v>2606</v>
      </c>
      <c r="Z127" s="190">
        <f t="shared" si="460"/>
        <v>3229</v>
      </c>
      <c r="AA127" s="190">
        <f t="shared" si="460"/>
        <v>3849.3288112177679</v>
      </c>
      <c r="AB127" s="190">
        <f t="shared" si="460"/>
        <v>4147.9801744149572</v>
      </c>
      <c r="AC127" s="174">
        <f t="shared" si="460"/>
        <v>4721.3526955580655</v>
      </c>
      <c r="AD127" s="174">
        <f t="shared" si="460"/>
        <v>5038.1893162996421</v>
      </c>
      <c r="AE127" s="174">
        <f t="shared" si="460"/>
        <v>5697.0407914549214</v>
      </c>
      <c r="AF127" s="174">
        <f t="shared" si="460"/>
        <v>5981.8928310276679</v>
      </c>
      <c r="AG127" s="174">
        <f t="shared" si="460"/>
        <v>6280.9874725790514</v>
      </c>
    </row>
    <row r="128" spans="2:36" outlineLevel="1" x14ac:dyDescent="0.2">
      <c r="B128" s="157" t="s">
        <v>383</v>
      </c>
      <c r="C128" s="169">
        <f>C85</f>
        <v>270</v>
      </c>
      <c r="D128" s="169">
        <f t="shared" ref="D128:V128" si="461">D85</f>
        <v>226</v>
      </c>
      <c r="E128" s="169">
        <f t="shared" si="461"/>
        <v>232</v>
      </c>
      <c r="F128" s="169">
        <f t="shared" si="461"/>
        <v>223</v>
      </c>
      <c r="G128" s="169">
        <f t="shared" si="461"/>
        <v>226</v>
      </c>
      <c r="H128" s="169">
        <f t="shared" si="461"/>
        <v>223</v>
      </c>
      <c r="I128" s="169">
        <f t="shared" si="461"/>
        <v>223</v>
      </c>
      <c r="J128" s="169">
        <f t="shared" si="461"/>
        <v>251</v>
      </c>
      <c r="K128" s="169">
        <f t="shared" si="461"/>
        <v>251</v>
      </c>
      <c r="L128" s="169">
        <f t="shared" si="461"/>
        <v>262</v>
      </c>
      <c r="M128" s="169">
        <f t="shared" si="461"/>
        <v>251</v>
      </c>
      <c r="N128" s="169">
        <f t="shared" si="461"/>
        <v>251</v>
      </c>
      <c r="O128" s="169">
        <f t="shared" si="461"/>
        <v>280</v>
      </c>
      <c r="P128" s="169">
        <f t="shared" si="461"/>
        <v>290</v>
      </c>
      <c r="Q128" s="169">
        <f t="shared" si="461"/>
        <v>289</v>
      </c>
      <c r="R128" s="169">
        <f t="shared" si="461"/>
        <v>295.1761761716545</v>
      </c>
      <c r="S128" s="169">
        <f t="shared" si="461"/>
        <v>298.6722589134468</v>
      </c>
      <c r="T128" s="169">
        <f t="shared" si="461"/>
        <v>311.04071902476409</v>
      </c>
      <c r="U128" s="169">
        <f t="shared" si="461"/>
        <v>312.76695672340088</v>
      </c>
      <c r="V128" s="169">
        <f t="shared" si="461"/>
        <v>324.48654916512066</v>
      </c>
      <c r="X128" s="182">
        <f t="shared" ref="X128:AG128" si="462">X85</f>
        <v>951</v>
      </c>
      <c r="Y128" s="182">
        <f t="shared" si="462"/>
        <v>923</v>
      </c>
      <c r="Z128" s="189">
        <f t="shared" si="462"/>
        <v>1015</v>
      </c>
      <c r="AA128" s="189">
        <f t="shared" si="462"/>
        <v>1154.1761761716546</v>
      </c>
      <c r="AB128" s="189">
        <f t="shared" si="462"/>
        <v>1246.9664838267327</v>
      </c>
      <c r="AC128" s="169">
        <f t="shared" si="462"/>
        <v>1421.9038040251676</v>
      </c>
      <c r="AD128" s="169">
        <f t="shared" si="462"/>
        <v>1516.033367951924</v>
      </c>
      <c r="AE128" s="169">
        <f t="shared" si="462"/>
        <v>1723.3676514479307</v>
      </c>
      <c r="AF128" s="169">
        <f t="shared" si="462"/>
        <v>1809.5360340203276</v>
      </c>
      <c r="AG128" s="169">
        <f t="shared" si="462"/>
        <v>1900.0128357213441</v>
      </c>
    </row>
    <row r="129" spans="2:33" outlineLevel="1" x14ac:dyDescent="0.2">
      <c r="B129" s="157" t="s">
        <v>384</v>
      </c>
      <c r="C129" s="169">
        <f>C100</f>
        <v>273</v>
      </c>
      <c r="D129" s="169">
        <f t="shared" ref="D129:AG129" si="463">D100</f>
        <v>278</v>
      </c>
      <c r="E129" s="169">
        <f t="shared" si="463"/>
        <v>290</v>
      </c>
      <c r="F129" s="169">
        <f t="shared" si="463"/>
        <v>288</v>
      </c>
      <c r="G129" s="169">
        <f t="shared" si="463"/>
        <v>300</v>
      </c>
      <c r="H129" s="169">
        <f t="shared" si="463"/>
        <v>332</v>
      </c>
      <c r="I129" s="169">
        <f t="shared" si="463"/>
        <v>329</v>
      </c>
      <c r="J129" s="169">
        <f t="shared" si="463"/>
        <v>322</v>
      </c>
      <c r="K129" s="169">
        <f t="shared" si="463"/>
        <v>352</v>
      </c>
      <c r="L129" s="169">
        <f t="shared" si="463"/>
        <v>360</v>
      </c>
      <c r="M129" s="169">
        <f t="shared" si="463"/>
        <v>352</v>
      </c>
      <c r="N129" s="169">
        <f t="shared" si="463"/>
        <v>338</v>
      </c>
      <c r="O129" s="169">
        <f t="shared" si="463"/>
        <v>354</v>
      </c>
      <c r="P129" s="169">
        <f t="shared" si="463"/>
        <v>346</v>
      </c>
      <c r="Q129" s="169">
        <f t="shared" si="463"/>
        <v>310</v>
      </c>
      <c r="R129" s="169">
        <f t="shared" si="463"/>
        <v>311.65114285714287</v>
      </c>
      <c r="S129" s="169">
        <f t="shared" si="463"/>
        <v>318.86033163265307</v>
      </c>
      <c r="T129" s="169">
        <f t="shared" si="463"/>
        <v>321.51986224489792</v>
      </c>
      <c r="U129" s="169">
        <f t="shared" si="463"/>
        <v>319.2283163265306</v>
      </c>
      <c r="V129" s="169">
        <f t="shared" si="463"/>
        <v>343.96802040816323</v>
      </c>
      <c r="X129" s="182">
        <f t="shared" si="463"/>
        <v>1363</v>
      </c>
      <c r="Y129" s="182">
        <f t="shared" si="463"/>
        <v>1386</v>
      </c>
      <c r="Z129" s="189">
        <f t="shared" si="463"/>
        <v>1402</v>
      </c>
      <c r="AA129" s="189">
        <f t="shared" si="463"/>
        <v>1321.651142857143</v>
      </c>
      <c r="AB129" s="189">
        <f t="shared" si="463"/>
        <v>1303.5765306122448</v>
      </c>
      <c r="AC129" s="169">
        <f t="shared" si="463"/>
        <v>1444.8721938775509</v>
      </c>
      <c r="AD129" s="169">
        <f t="shared" si="463"/>
        <v>1461.530969387755</v>
      </c>
      <c r="AE129" s="169">
        <f t="shared" si="463"/>
        <v>1546.2780612244896</v>
      </c>
      <c r="AF129" s="169">
        <f t="shared" si="463"/>
        <v>1623.5919642857143</v>
      </c>
      <c r="AG129" s="169">
        <f t="shared" si="463"/>
        <v>1704.7715625000001</v>
      </c>
    </row>
    <row r="130" spans="2:33" outlineLevel="1" x14ac:dyDescent="0.2">
      <c r="B130" s="157" t="s">
        <v>4</v>
      </c>
      <c r="C130" s="169">
        <f>C119</f>
        <v>211</v>
      </c>
      <c r="D130" s="169">
        <f t="shared" ref="D130:AG130" si="464">D119</f>
        <v>223</v>
      </c>
      <c r="E130" s="169">
        <f t="shared" si="464"/>
        <v>218</v>
      </c>
      <c r="F130" s="169">
        <f t="shared" si="464"/>
        <v>211</v>
      </c>
      <c r="G130" s="169">
        <f t="shared" si="464"/>
        <v>212</v>
      </c>
      <c r="H130" s="169">
        <f t="shared" si="464"/>
        <v>213</v>
      </c>
      <c r="I130" s="169">
        <f t="shared" si="464"/>
        <v>213</v>
      </c>
      <c r="J130" s="169">
        <f t="shared" si="464"/>
        <v>213</v>
      </c>
      <c r="K130" s="169">
        <f t="shared" si="464"/>
        <v>246</v>
      </c>
      <c r="L130" s="169">
        <f t="shared" si="464"/>
        <v>255</v>
      </c>
      <c r="M130" s="169">
        <f t="shared" si="464"/>
        <v>235</v>
      </c>
      <c r="N130" s="169">
        <f t="shared" si="464"/>
        <v>258</v>
      </c>
      <c r="O130" s="169">
        <f t="shared" si="464"/>
        <v>262</v>
      </c>
      <c r="P130" s="169">
        <f t="shared" si="464"/>
        <v>265</v>
      </c>
      <c r="Q130" s="169">
        <f t="shared" si="464"/>
        <v>274</v>
      </c>
      <c r="R130" s="169">
        <f t="shared" si="464"/>
        <v>315.06910784867301</v>
      </c>
      <c r="S130" s="169">
        <f t="shared" si="464"/>
        <v>314.58971676615306</v>
      </c>
      <c r="T130" s="169">
        <f t="shared" si="464"/>
        <v>322.22654422440917</v>
      </c>
      <c r="U130" s="169">
        <f t="shared" si="464"/>
        <v>333.29588307655081</v>
      </c>
      <c r="V130" s="169">
        <f t="shared" si="464"/>
        <v>385.97379406307977</v>
      </c>
      <c r="X130" s="182">
        <f t="shared" si="464"/>
        <v>927</v>
      </c>
      <c r="Y130" s="182">
        <f t="shared" si="464"/>
        <v>949</v>
      </c>
      <c r="Z130" s="189">
        <f t="shared" si="464"/>
        <v>994</v>
      </c>
      <c r="AA130" s="189">
        <f t="shared" si="464"/>
        <v>1116.069107848673</v>
      </c>
      <c r="AB130" s="189">
        <f t="shared" si="464"/>
        <v>1356.0859381301927</v>
      </c>
      <c r="AC130" s="169">
        <f t="shared" si="464"/>
        <v>1868.0860818209351</v>
      </c>
      <c r="AD130" s="169">
        <f t="shared" si="464"/>
        <v>2530.3512653518042</v>
      </c>
      <c r="AE130" s="169">
        <f t="shared" si="464"/>
        <v>3160.9941177145774</v>
      </c>
      <c r="AF130" s="169">
        <f t="shared" si="464"/>
        <v>3863.602924148865</v>
      </c>
      <c r="AG130" s="169">
        <f t="shared" si="464"/>
        <v>4733.0499983877289</v>
      </c>
    </row>
    <row r="131" spans="2:33" outlineLevel="1" x14ac:dyDescent="0.2">
      <c r="B131" s="157" t="s">
        <v>381</v>
      </c>
      <c r="C131" s="169">
        <f>SUM(C127:C130)</f>
        <v>1209</v>
      </c>
      <c r="D131" s="169">
        <f t="shared" ref="D131:V131" si="465">SUM(D127:D130)</f>
        <v>1195</v>
      </c>
      <c r="E131" s="169">
        <f t="shared" si="465"/>
        <v>1283</v>
      </c>
      <c r="F131" s="169">
        <f t="shared" si="465"/>
        <v>1285</v>
      </c>
      <c r="G131" s="169">
        <f t="shared" si="465"/>
        <v>1324</v>
      </c>
      <c r="H131" s="169">
        <f t="shared" si="465"/>
        <v>1393</v>
      </c>
      <c r="I131" s="169">
        <f t="shared" si="465"/>
        <v>1433</v>
      </c>
      <c r="J131" s="169">
        <f t="shared" si="465"/>
        <v>1513</v>
      </c>
      <c r="K131" s="169">
        <f t="shared" si="465"/>
        <v>1603</v>
      </c>
      <c r="L131" s="169">
        <f t="shared" si="465"/>
        <v>1648</v>
      </c>
      <c r="M131" s="169">
        <f t="shared" si="465"/>
        <v>1658</v>
      </c>
      <c r="N131" s="169">
        <f t="shared" si="465"/>
        <v>1731</v>
      </c>
      <c r="O131" s="169">
        <f t="shared" si="465"/>
        <v>1824</v>
      </c>
      <c r="P131" s="169">
        <f t="shared" si="465"/>
        <v>1880</v>
      </c>
      <c r="Q131" s="169">
        <f t="shared" si="465"/>
        <v>1835</v>
      </c>
      <c r="R131" s="169">
        <f t="shared" si="465"/>
        <v>1902.2252380952382</v>
      </c>
      <c r="S131" s="169">
        <f t="shared" si="465"/>
        <v>1928.3603174603172</v>
      </c>
      <c r="T131" s="169">
        <f t="shared" si="465"/>
        <v>1989.4893492063493</v>
      </c>
      <c r="U131" s="169">
        <f t="shared" si="465"/>
        <v>2004.6023809523811</v>
      </c>
      <c r="V131" s="169">
        <f t="shared" si="465"/>
        <v>2132.1570793650794</v>
      </c>
      <c r="X131" s="169">
        <f t="shared" ref="X131:AG131" si="466">SUM(X127:X130)</f>
        <v>5270</v>
      </c>
      <c r="Y131" s="169">
        <f t="shared" si="466"/>
        <v>5864</v>
      </c>
      <c r="Z131" s="169">
        <f t="shared" si="466"/>
        <v>6640</v>
      </c>
      <c r="AA131" s="169">
        <f t="shared" si="466"/>
        <v>7441.2252380952377</v>
      </c>
      <c r="AB131" s="169">
        <f t="shared" si="466"/>
        <v>8054.6091269841272</v>
      </c>
      <c r="AC131" s="169">
        <f t="shared" si="466"/>
        <v>9456.2147752817182</v>
      </c>
      <c r="AD131" s="169">
        <f t="shared" si="466"/>
        <v>10546.104918991126</v>
      </c>
      <c r="AE131" s="169">
        <f t="shared" si="466"/>
        <v>12127.680621841919</v>
      </c>
      <c r="AF131" s="169">
        <f t="shared" si="466"/>
        <v>13278.623753482574</v>
      </c>
      <c r="AG131" s="169">
        <f t="shared" si="466"/>
        <v>14618.821869188125</v>
      </c>
    </row>
    <row r="132" spans="2:33" outlineLevel="1" x14ac:dyDescent="0.2">
      <c r="B132" s="157"/>
      <c r="C132" s="169"/>
      <c r="D132" s="169"/>
      <c r="E132" s="169"/>
      <c r="F132" s="169"/>
      <c r="G132" s="169"/>
      <c r="H132" s="169"/>
      <c r="I132" s="169"/>
      <c r="J132" s="169"/>
      <c r="K132" s="169"/>
      <c r="L132" s="169"/>
      <c r="M132" s="169"/>
      <c r="N132" s="169"/>
      <c r="O132" s="169"/>
      <c r="P132" s="169"/>
      <c r="Q132" s="169"/>
      <c r="R132" s="169"/>
      <c r="S132" s="169"/>
      <c r="T132" s="169"/>
      <c r="U132" s="169"/>
      <c r="V132" s="169"/>
      <c r="X132" s="182"/>
      <c r="Y132" s="182"/>
      <c r="Z132" s="189"/>
      <c r="AA132" s="189"/>
      <c r="AB132" s="189"/>
      <c r="AC132" s="169"/>
      <c r="AD132" s="169"/>
      <c r="AE132" s="169"/>
      <c r="AF132" s="169"/>
      <c r="AG132" s="169"/>
    </row>
    <row r="133" spans="2:33" outlineLevel="1" x14ac:dyDescent="0.2">
      <c r="B133" s="157" t="s">
        <v>489</v>
      </c>
      <c r="C133" s="169"/>
      <c r="D133" s="169"/>
      <c r="E133" s="169"/>
      <c r="F133" s="169"/>
      <c r="G133" s="169"/>
      <c r="H133" s="169"/>
      <c r="I133" s="169"/>
      <c r="J133" s="169"/>
      <c r="K133" s="169"/>
      <c r="L133" s="169"/>
      <c r="M133" s="169"/>
      <c r="N133" s="169"/>
      <c r="O133" s="169"/>
      <c r="P133" s="169"/>
      <c r="Q133" s="169"/>
      <c r="R133" s="169"/>
      <c r="S133" s="169"/>
      <c r="T133" s="169"/>
      <c r="U133" s="169"/>
      <c r="V133" s="169"/>
      <c r="X133" s="182"/>
      <c r="Y133" s="182"/>
      <c r="Z133" s="189"/>
      <c r="AA133" s="189"/>
      <c r="AB133" s="189"/>
      <c r="AC133" s="169"/>
      <c r="AD133" s="169"/>
      <c r="AE133" s="169"/>
      <c r="AF133" s="169"/>
      <c r="AG133" s="169"/>
    </row>
    <row r="134" spans="2:33" outlineLevel="1" x14ac:dyDescent="0.2">
      <c r="B134" s="162" t="s">
        <v>382</v>
      </c>
      <c r="C134" s="281">
        <f>C127/C$131</f>
        <v>0.37634408602150538</v>
      </c>
      <c r="D134" s="281">
        <f t="shared" ref="D134:V134" si="467">D127/D$131</f>
        <v>0.39163179916317992</v>
      </c>
      <c r="E134" s="281">
        <f t="shared" si="467"/>
        <v>0.42322681215900232</v>
      </c>
      <c r="F134" s="281">
        <f t="shared" si="467"/>
        <v>0.43813229571984436</v>
      </c>
      <c r="G134" s="281">
        <f t="shared" si="467"/>
        <v>0.44259818731117823</v>
      </c>
      <c r="H134" s="281">
        <f t="shared" si="467"/>
        <v>0.44867193108399139</v>
      </c>
      <c r="I134" s="281">
        <f t="shared" si="467"/>
        <v>0.46615491974877876</v>
      </c>
      <c r="J134" s="281">
        <f t="shared" si="467"/>
        <v>0.48050231328486454</v>
      </c>
      <c r="K134" s="281">
        <f t="shared" si="467"/>
        <v>0.47036805988771052</v>
      </c>
      <c r="L134" s="281">
        <f t="shared" si="467"/>
        <v>0.4678398058252427</v>
      </c>
      <c r="M134" s="281">
        <f t="shared" si="467"/>
        <v>0.49457177322074791</v>
      </c>
      <c r="N134" s="281">
        <f t="shared" si="467"/>
        <v>0.51068746389370301</v>
      </c>
      <c r="O134" s="281">
        <f t="shared" si="467"/>
        <v>0.50877192982456143</v>
      </c>
      <c r="P134" s="281">
        <f t="shared" si="467"/>
        <v>0.52074468085106385</v>
      </c>
      <c r="Q134" s="281">
        <f t="shared" si="467"/>
        <v>0.52425068119891005</v>
      </c>
      <c r="R134" s="281">
        <f t="shared" si="467"/>
        <v>0.51535895517788621</v>
      </c>
      <c r="S134" s="281">
        <f t="shared" si="467"/>
        <v>0.51662440941541798</v>
      </c>
      <c r="T134" s="281">
        <f t="shared" si="467"/>
        <v>0.5200843242136699</v>
      </c>
      <c r="U134" s="281">
        <f t="shared" si="467"/>
        <v>0.51846253137349108</v>
      </c>
      <c r="V134" s="281">
        <f t="shared" si="467"/>
        <v>0.50546403272016205</v>
      </c>
      <c r="X134" s="281">
        <f t="shared" ref="X134:AG134" si="468">X127/X$131</f>
        <v>0.38500948766603416</v>
      </c>
      <c r="Y134" s="281">
        <f t="shared" si="468"/>
        <v>0.44440654843110505</v>
      </c>
      <c r="Z134" s="281">
        <f t="shared" si="468"/>
        <v>0.48629518072289157</v>
      </c>
      <c r="AA134" s="281">
        <f t="shared" si="468"/>
        <v>0.5172977148321205</v>
      </c>
      <c r="AB134" s="281">
        <f t="shared" si="468"/>
        <v>0.51498218088803493</v>
      </c>
      <c r="AC134" s="281">
        <f t="shared" si="468"/>
        <v>0.49928568753530744</v>
      </c>
      <c r="AD134" s="281">
        <f t="shared" si="468"/>
        <v>0.47772986851543775</v>
      </c>
      <c r="AE134" s="281">
        <f t="shared" si="468"/>
        <v>0.46975517983171217</v>
      </c>
      <c r="AF134" s="281">
        <f t="shared" si="468"/>
        <v>0.45049042295959335</v>
      </c>
      <c r="AG134" s="281">
        <f t="shared" si="468"/>
        <v>0.42965072895630502</v>
      </c>
    </row>
    <row r="135" spans="2:33" outlineLevel="1" x14ac:dyDescent="0.2">
      <c r="B135" s="157" t="s">
        <v>383</v>
      </c>
      <c r="C135" s="158">
        <f t="shared" ref="C135:V135" si="469">C128/C$131</f>
        <v>0.22332506203473945</v>
      </c>
      <c r="D135" s="158">
        <f t="shared" si="469"/>
        <v>0.1891213389121339</v>
      </c>
      <c r="E135" s="158">
        <f t="shared" si="469"/>
        <v>0.18082618862042088</v>
      </c>
      <c r="F135" s="158">
        <f t="shared" si="469"/>
        <v>0.1735408560311284</v>
      </c>
      <c r="G135" s="158">
        <f t="shared" si="469"/>
        <v>0.17069486404833836</v>
      </c>
      <c r="H135" s="158">
        <f t="shared" si="469"/>
        <v>0.16008614501076812</v>
      </c>
      <c r="I135" s="158">
        <f t="shared" si="469"/>
        <v>0.15561758548499652</v>
      </c>
      <c r="J135" s="158">
        <f t="shared" si="469"/>
        <v>0.16589557171183081</v>
      </c>
      <c r="K135" s="158">
        <f t="shared" si="469"/>
        <v>0.15658140985651903</v>
      </c>
      <c r="L135" s="158">
        <f t="shared" si="469"/>
        <v>0.15898058252427186</v>
      </c>
      <c r="M135" s="158">
        <f t="shared" si="469"/>
        <v>0.1513872135102533</v>
      </c>
      <c r="N135" s="158">
        <f t="shared" si="469"/>
        <v>0.14500288850375506</v>
      </c>
      <c r="O135" s="158">
        <f t="shared" si="469"/>
        <v>0.15350877192982457</v>
      </c>
      <c r="P135" s="158">
        <f t="shared" si="469"/>
        <v>0.15425531914893617</v>
      </c>
      <c r="Q135" s="158">
        <f t="shared" si="469"/>
        <v>0.15749318801089918</v>
      </c>
      <c r="R135" s="158">
        <f t="shared" si="469"/>
        <v>0.15517414565859944</v>
      </c>
      <c r="S135" s="158">
        <f t="shared" si="469"/>
        <v>0.15488405160027519</v>
      </c>
      <c r="T135" s="158">
        <f t="shared" si="469"/>
        <v>0.15634198753003881</v>
      </c>
      <c r="U135" s="158">
        <f t="shared" si="469"/>
        <v>0.15602443641457023</v>
      </c>
      <c r="V135" s="158">
        <f t="shared" si="469"/>
        <v>0.15218698111198603</v>
      </c>
      <c r="X135" s="158">
        <f t="shared" ref="X135:AG135" si="470">X128/X$131</f>
        <v>0.18045540796963946</v>
      </c>
      <c r="Y135" s="158">
        <f t="shared" si="470"/>
        <v>0.15740109140518418</v>
      </c>
      <c r="Z135" s="158">
        <f t="shared" si="470"/>
        <v>0.15286144578313254</v>
      </c>
      <c r="AA135" s="158">
        <f t="shared" si="470"/>
        <v>0.15510566328013664</v>
      </c>
      <c r="AB135" s="158">
        <f t="shared" si="470"/>
        <v>0.15481402811332101</v>
      </c>
      <c r="AC135" s="158">
        <f t="shared" si="470"/>
        <v>0.15036712234391975</v>
      </c>
      <c r="AD135" s="158">
        <f t="shared" si="470"/>
        <v>0.14375291916752073</v>
      </c>
      <c r="AE135" s="158">
        <f t="shared" si="470"/>
        <v>0.14210199832803566</v>
      </c>
      <c r="AF135" s="158">
        <f t="shared" si="470"/>
        <v>0.13627436604985077</v>
      </c>
      <c r="AG135" s="158">
        <f t="shared" si="470"/>
        <v>0.12997031174762264</v>
      </c>
    </row>
    <row r="136" spans="2:33" outlineLevel="1" x14ac:dyDescent="0.2">
      <c r="B136" s="157" t="s">
        <v>384</v>
      </c>
      <c r="C136" s="158">
        <f t="shared" ref="C136:V136" si="471">C129/C$131</f>
        <v>0.22580645161290322</v>
      </c>
      <c r="D136" s="158">
        <f t="shared" si="471"/>
        <v>0.23263598326359833</v>
      </c>
      <c r="E136" s="158">
        <f t="shared" si="471"/>
        <v>0.2260327357755261</v>
      </c>
      <c r="F136" s="158">
        <f t="shared" si="471"/>
        <v>0.22412451361867705</v>
      </c>
      <c r="G136" s="158">
        <f t="shared" si="471"/>
        <v>0.22658610271903323</v>
      </c>
      <c r="H136" s="158">
        <f t="shared" si="471"/>
        <v>0.23833452979181621</v>
      </c>
      <c r="I136" s="158">
        <f t="shared" si="471"/>
        <v>0.22958827634333567</v>
      </c>
      <c r="J136" s="158">
        <f t="shared" si="471"/>
        <v>0.21282220753469927</v>
      </c>
      <c r="K136" s="158">
        <f t="shared" si="471"/>
        <v>0.21958827199001871</v>
      </c>
      <c r="L136" s="158">
        <f t="shared" si="471"/>
        <v>0.21844660194174756</v>
      </c>
      <c r="M136" s="158">
        <f t="shared" si="471"/>
        <v>0.21230398069963813</v>
      </c>
      <c r="N136" s="158">
        <f t="shared" si="471"/>
        <v>0.19526285384170999</v>
      </c>
      <c r="O136" s="158">
        <f t="shared" si="471"/>
        <v>0.19407894736842105</v>
      </c>
      <c r="P136" s="158">
        <f t="shared" si="471"/>
        <v>0.18404255319148935</v>
      </c>
      <c r="Q136" s="158">
        <f t="shared" si="471"/>
        <v>0.16893732970027248</v>
      </c>
      <c r="R136" s="158">
        <f t="shared" si="471"/>
        <v>0.16383503731093885</v>
      </c>
      <c r="S136" s="158">
        <f t="shared" si="471"/>
        <v>0.16535308715157418</v>
      </c>
      <c r="T136" s="158">
        <f t="shared" si="471"/>
        <v>0.16160924026718676</v>
      </c>
      <c r="U136" s="158">
        <f t="shared" si="471"/>
        <v>0.1592476988752583</v>
      </c>
      <c r="V136" s="158">
        <f t="shared" si="471"/>
        <v>0.16132395860373999</v>
      </c>
      <c r="X136" s="158">
        <f t="shared" ref="X136:AG136" si="472">X129/X$131</f>
        <v>0.25863377609108157</v>
      </c>
      <c r="Y136" s="158">
        <f t="shared" si="472"/>
        <v>0.23635743519781718</v>
      </c>
      <c r="Z136" s="158">
        <f t="shared" si="472"/>
        <v>0.21114457831325301</v>
      </c>
      <c r="AA136" s="158">
        <f t="shared" si="472"/>
        <v>0.17761203304140968</v>
      </c>
      <c r="AB136" s="158">
        <f t="shared" si="472"/>
        <v>0.16184230793336343</v>
      </c>
      <c r="AC136" s="158">
        <f t="shared" si="472"/>
        <v>0.15279604241375805</v>
      </c>
      <c r="AD136" s="158">
        <f t="shared" si="472"/>
        <v>0.13858490699783116</v>
      </c>
      <c r="AE136" s="158">
        <f t="shared" si="472"/>
        <v>0.12749989956361871</v>
      </c>
      <c r="AF136" s="158">
        <f t="shared" si="472"/>
        <v>0.12227110236931717</v>
      </c>
      <c r="AG136" s="158">
        <f t="shared" si="472"/>
        <v>0.11661483926369758</v>
      </c>
    </row>
    <row r="137" spans="2:33" outlineLevel="1" x14ac:dyDescent="0.2">
      <c r="B137" s="157" t="s">
        <v>4</v>
      </c>
      <c r="C137" s="158">
        <f t="shared" ref="C137:V137" si="473">C130/C$131</f>
        <v>0.17452440033085195</v>
      </c>
      <c r="D137" s="158">
        <f t="shared" si="473"/>
        <v>0.18661087866108786</v>
      </c>
      <c r="E137" s="158">
        <f t="shared" si="473"/>
        <v>0.16991426344505067</v>
      </c>
      <c r="F137" s="158">
        <f t="shared" si="473"/>
        <v>0.16420233463035019</v>
      </c>
      <c r="G137" s="158">
        <f t="shared" si="473"/>
        <v>0.16012084592145015</v>
      </c>
      <c r="H137" s="158">
        <f t="shared" si="473"/>
        <v>0.15290739411342427</v>
      </c>
      <c r="I137" s="158">
        <f t="shared" si="473"/>
        <v>0.14863921842288905</v>
      </c>
      <c r="J137" s="158">
        <f t="shared" si="473"/>
        <v>0.14077990746860541</v>
      </c>
      <c r="K137" s="158">
        <f t="shared" si="473"/>
        <v>0.15346225826575172</v>
      </c>
      <c r="L137" s="158">
        <f t="shared" si="473"/>
        <v>0.15473300970873785</v>
      </c>
      <c r="M137" s="158">
        <f t="shared" si="473"/>
        <v>0.14173703256936068</v>
      </c>
      <c r="N137" s="158">
        <f t="shared" si="473"/>
        <v>0.14904679376083188</v>
      </c>
      <c r="O137" s="158">
        <f t="shared" si="473"/>
        <v>0.14364035087719298</v>
      </c>
      <c r="P137" s="158">
        <f t="shared" si="473"/>
        <v>0.14095744680851063</v>
      </c>
      <c r="Q137" s="158">
        <f t="shared" si="473"/>
        <v>0.14931880108991827</v>
      </c>
      <c r="R137" s="158">
        <f t="shared" si="473"/>
        <v>0.1656318618525755</v>
      </c>
      <c r="S137" s="158">
        <f t="shared" si="473"/>
        <v>0.16313845183273268</v>
      </c>
      <c r="T137" s="158">
        <f t="shared" si="473"/>
        <v>0.16196444798910453</v>
      </c>
      <c r="U137" s="158">
        <f t="shared" si="473"/>
        <v>0.16626533333668039</v>
      </c>
      <c r="V137" s="158">
        <f t="shared" si="473"/>
        <v>0.18102502756411187</v>
      </c>
      <c r="X137" s="158">
        <f t="shared" ref="X137:AG137" si="474">X130/X$131</f>
        <v>0.17590132827324478</v>
      </c>
      <c r="Y137" s="158">
        <f t="shared" si="474"/>
        <v>0.16183492496589358</v>
      </c>
      <c r="Z137" s="158">
        <f t="shared" si="474"/>
        <v>0.1496987951807229</v>
      </c>
      <c r="AA137" s="158">
        <f t="shared" si="474"/>
        <v>0.14998458884633331</v>
      </c>
      <c r="AB137" s="158">
        <f t="shared" si="474"/>
        <v>0.16836148306528059</v>
      </c>
      <c r="AC137" s="158">
        <f t="shared" si="474"/>
        <v>0.19755114770701487</v>
      </c>
      <c r="AD137" s="158">
        <f t="shared" si="474"/>
        <v>0.23993230531921025</v>
      </c>
      <c r="AE137" s="158">
        <f t="shared" si="474"/>
        <v>0.26064292227663349</v>
      </c>
      <c r="AF137" s="158">
        <f t="shared" si="474"/>
        <v>0.29096410862123878</v>
      </c>
      <c r="AG137" s="158">
        <f t="shared" si="474"/>
        <v>0.32376412003237476</v>
      </c>
    </row>
    <row r="138" spans="2:33" outlineLevel="1" x14ac:dyDescent="0.2">
      <c r="B138" s="157"/>
      <c r="C138" s="169"/>
      <c r="D138" s="169"/>
      <c r="E138" s="169"/>
      <c r="F138" s="169"/>
      <c r="G138" s="169"/>
      <c r="H138" s="169"/>
      <c r="I138" s="169"/>
      <c r="J138" s="169"/>
      <c r="K138" s="169"/>
      <c r="L138" s="169"/>
      <c r="M138" s="169"/>
      <c r="N138" s="169"/>
      <c r="O138" s="169"/>
      <c r="P138" s="169"/>
      <c r="Q138" s="169"/>
      <c r="R138" s="169"/>
      <c r="S138" s="169"/>
      <c r="T138" s="169"/>
      <c r="U138" s="169"/>
      <c r="V138" s="169"/>
      <c r="X138" s="182"/>
      <c r="Y138" s="182"/>
      <c r="Z138" s="189"/>
      <c r="AA138" s="189"/>
      <c r="AB138" s="189"/>
      <c r="AC138" s="169"/>
      <c r="AD138" s="169"/>
      <c r="AE138" s="169"/>
      <c r="AF138" s="169"/>
      <c r="AG138" s="169"/>
    </row>
    <row r="139" spans="2:33" outlineLevel="1" x14ac:dyDescent="0.2">
      <c r="B139" s="157" t="s">
        <v>490</v>
      </c>
      <c r="C139" s="169"/>
      <c r="D139" s="169"/>
      <c r="E139" s="169"/>
      <c r="F139" s="169"/>
      <c r="G139" s="169"/>
      <c r="H139" s="169"/>
      <c r="I139" s="169"/>
      <c r="J139" s="169"/>
      <c r="K139" s="169"/>
      <c r="L139" s="169"/>
      <c r="M139" s="169"/>
      <c r="N139" s="169"/>
      <c r="O139" s="169"/>
      <c r="P139" s="169"/>
      <c r="Q139" s="169"/>
      <c r="R139" s="169"/>
      <c r="S139" s="169"/>
      <c r="T139" s="169"/>
      <c r="U139" s="169"/>
      <c r="V139" s="169"/>
      <c r="X139" s="182"/>
      <c r="Y139" s="182"/>
      <c r="Z139" s="189"/>
      <c r="AA139" s="189"/>
      <c r="AB139" s="189"/>
      <c r="AC139" s="169"/>
      <c r="AD139" s="169"/>
      <c r="AE139" s="169"/>
      <c r="AF139" s="169"/>
      <c r="AG139" s="169"/>
    </row>
    <row r="140" spans="2:33" outlineLevel="1" x14ac:dyDescent="0.2">
      <c r="B140" s="162" t="s">
        <v>382</v>
      </c>
      <c r="C140" s="281"/>
      <c r="D140" s="281"/>
      <c r="E140" s="281"/>
      <c r="F140" s="281"/>
      <c r="G140" s="281"/>
      <c r="H140" s="281"/>
      <c r="I140" s="281"/>
      <c r="J140" s="281"/>
      <c r="K140" s="281"/>
      <c r="L140" s="281"/>
      <c r="M140" s="281"/>
      <c r="N140" s="281"/>
      <c r="O140" s="281"/>
      <c r="P140" s="281"/>
      <c r="Q140" s="281"/>
      <c r="R140" s="281"/>
      <c r="S140" s="281"/>
      <c r="T140" s="281"/>
      <c r="U140" s="281"/>
      <c r="V140" s="281"/>
      <c r="X140" s="281"/>
      <c r="Y140" s="281">
        <f>(Y127-X127)/(Y$131-X$131)</f>
        <v>0.97138047138047134</v>
      </c>
      <c r="Z140" s="281">
        <f t="shared" ref="Z140:AG140" si="475">(Z127-Y127)/(Z$131-Y$131)</f>
        <v>0.80283505154639179</v>
      </c>
      <c r="AA140" s="281">
        <f t="shared" si="475"/>
        <v>0.77422525118215568</v>
      </c>
      <c r="AB140" s="281">
        <f t="shared" si="475"/>
        <v>0.48689143716862127</v>
      </c>
      <c r="AC140" s="281">
        <f t="shared" si="475"/>
        <v>0.40908262737064044</v>
      </c>
      <c r="AD140" s="281">
        <f t="shared" si="475"/>
        <v>0.29070509772960479</v>
      </c>
      <c r="AE140" s="281">
        <f t="shared" si="475"/>
        <v>0.41657915834676684</v>
      </c>
      <c r="AF140" s="281">
        <f t="shared" si="475"/>
        <v>0.24749445193412237</v>
      </c>
      <c r="AG140" s="281">
        <f t="shared" si="475"/>
        <v>0.22317196095588035</v>
      </c>
    </row>
    <row r="141" spans="2:33" outlineLevel="1" x14ac:dyDescent="0.2">
      <c r="B141" s="157" t="s">
        <v>383</v>
      </c>
      <c r="C141" s="158"/>
      <c r="D141" s="158"/>
      <c r="E141" s="158"/>
      <c r="F141" s="158"/>
      <c r="G141" s="158"/>
      <c r="H141" s="158"/>
      <c r="I141" s="158"/>
      <c r="J141" s="158"/>
      <c r="K141" s="158"/>
      <c r="L141" s="158"/>
      <c r="M141" s="158"/>
      <c r="N141" s="158"/>
      <c r="O141" s="158"/>
      <c r="P141" s="158"/>
      <c r="Q141" s="158"/>
      <c r="R141" s="158"/>
      <c r="S141" s="158"/>
      <c r="T141" s="158"/>
      <c r="U141" s="158"/>
      <c r="V141" s="158"/>
      <c r="X141" s="158"/>
      <c r="Y141" s="158">
        <f t="shared" ref="Y141:AG143" si="476">(Y128-X128)/(Y$131-X$131)</f>
        <v>-4.7138047138047139E-2</v>
      </c>
      <c r="Z141" s="158">
        <f t="shared" si="476"/>
        <v>0.11855670103092783</v>
      </c>
      <c r="AA141" s="158">
        <f t="shared" si="476"/>
        <v>0.17370418398516718</v>
      </c>
      <c r="AB141" s="158">
        <f t="shared" si="476"/>
        <v>0.15127607577558408</v>
      </c>
      <c r="AC141" s="158">
        <f t="shared" si="476"/>
        <v>0.12481208277871607</v>
      </c>
      <c r="AD141" s="158">
        <f t="shared" si="476"/>
        <v>8.6366102556345067E-2</v>
      </c>
      <c r="AE141" s="158">
        <f t="shared" si="476"/>
        <v>0.13109349310455792</v>
      </c>
      <c r="AF141" s="158">
        <f t="shared" si="476"/>
        <v>7.486762829851111E-2</v>
      </c>
      <c r="AG141" s="158">
        <f t="shared" si="476"/>
        <v>6.7510020078922997E-2</v>
      </c>
    </row>
    <row r="142" spans="2:33" outlineLevel="1" x14ac:dyDescent="0.2">
      <c r="B142" s="157" t="s">
        <v>384</v>
      </c>
      <c r="C142" s="158"/>
      <c r="D142" s="158"/>
      <c r="E142" s="158"/>
      <c r="F142" s="158"/>
      <c r="G142" s="158"/>
      <c r="H142" s="158"/>
      <c r="I142" s="158"/>
      <c r="J142" s="158"/>
      <c r="K142" s="158"/>
      <c r="L142" s="158"/>
      <c r="M142" s="158"/>
      <c r="N142" s="158"/>
      <c r="O142" s="158"/>
      <c r="P142" s="158"/>
      <c r="Q142" s="158"/>
      <c r="R142" s="158"/>
      <c r="S142" s="158"/>
      <c r="T142" s="158"/>
      <c r="U142" s="158"/>
      <c r="V142" s="158"/>
      <c r="X142" s="158"/>
      <c r="Y142" s="158">
        <f t="shared" si="476"/>
        <v>3.8720538720538718E-2</v>
      </c>
      <c r="Z142" s="158">
        <f t="shared" si="476"/>
        <v>2.0618556701030927E-2</v>
      </c>
      <c r="AA142" s="158">
        <f t="shared" si="476"/>
        <v>-0.10028248402892463</v>
      </c>
      <c r="AB142" s="158">
        <f t="shared" si="476"/>
        <v>-2.9467047590114093E-2</v>
      </c>
      <c r="AC142" s="158">
        <f t="shared" si="476"/>
        <v>0.10080985577999467</v>
      </c>
      <c r="AD142" s="158">
        <f t="shared" si="476"/>
        <v>1.5284820774235541E-2</v>
      </c>
      <c r="AE142" s="158">
        <f t="shared" si="476"/>
        <v>5.3583961668087009E-2</v>
      </c>
      <c r="AF142" s="158">
        <f t="shared" si="476"/>
        <v>6.7174390233351186E-2</v>
      </c>
      <c r="AG142" s="158">
        <f t="shared" si="476"/>
        <v>6.0572834167542874E-2</v>
      </c>
    </row>
    <row r="143" spans="2:33" outlineLevel="1" x14ac:dyDescent="0.2">
      <c r="B143" s="157" t="s">
        <v>4</v>
      </c>
      <c r="C143" s="158"/>
      <c r="D143" s="158"/>
      <c r="E143" s="158"/>
      <c r="F143" s="158"/>
      <c r="G143" s="158"/>
      <c r="H143" s="158"/>
      <c r="I143" s="158"/>
      <c r="J143" s="158"/>
      <c r="K143" s="158"/>
      <c r="L143" s="158"/>
      <c r="M143" s="158"/>
      <c r="N143" s="158"/>
      <c r="O143" s="158"/>
      <c r="P143" s="158"/>
      <c r="Q143" s="158"/>
      <c r="R143" s="158"/>
      <c r="S143" s="158"/>
      <c r="T143" s="158"/>
      <c r="U143" s="158"/>
      <c r="V143" s="158"/>
      <c r="X143" s="158"/>
      <c r="Y143" s="158">
        <f t="shared" si="476"/>
        <v>3.7037037037037035E-2</v>
      </c>
      <c r="Z143" s="158">
        <f t="shared" si="476"/>
        <v>5.7989690721649487E-2</v>
      </c>
      <c r="AA143" s="158">
        <f t="shared" si="476"/>
        <v>0.15235304886160264</v>
      </c>
      <c r="AB143" s="158">
        <f t="shared" si="476"/>
        <v>0.391299534645908</v>
      </c>
      <c r="AC143" s="158">
        <f t="shared" si="476"/>
        <v>0.36529543407064929</v>
      </c>
      <c r="AD143" s="158">
        <f>(AD130-AC130)/(AD$131-AC$131)</f>
        <v>0.6076439789398127</v>
      </c>
      <c r="AE143" s="158">
        <f t="shared" si="476"/>
        <v>0.39874338688058919</v>
      </c>
      <c r="AF143" s="158">
        <f t="shared" si="476"/>
        <v>0.6104635295340155</v>
      </c>
      <c r="AG143" s="158">
        <f t="shared" si="476"/>
        <v>0.64874518479765308</v>
      </c>
    </row>
    <row r="144" spans="2:33" outlineLevel="1" x14ac:dyDescent="0.2">
      <c r="B144" s="157"/>
      <c r="C144" s="169"/>
      <c r="D144" s="169"/>
      <c r="E144" s="169"/>
      <c r="F144" s="169"/>
      <c r="G144" s="169"/>
      <c r="H144" s="169"/>
      <c r="I144" s="169"/>
      <c r="J144" s="169"/>
      <c r="K144" s="169"/>
      <c r="L144" s="169"/>
      <c r="M144" s="169"/>
      <c r="N144" s="169"/>
      <c r="O144" s="169"/>
      <c r="P144" s="169"/>
      <c r="Q144" s="169"/>
      <c r="R144" s="169"/>
      <c r="S144" s="169"/>
      <c r="T144" s="169"/>
      <c r="U144" s="169"/>
      <c r="V144" s="169"/>
      <c r="X144" s="182"/>
      <c r="Y144" s="182"/>
      <c r="Z144" s="189"/>
      <c r="AA144" s="189"/>
      <c r="AB144" s="189"/>
      <c r="AC144" s="169"/>
      <c r="AD144" s="169"/>
      <c r="AE144" s="169"/>
      <c r="AF144" s="169"/>
      <c r="AG144" s="169"/>
    </row>
    <row r="145" spans="2:38" outlineLevel="1" x14ac:dyDescent="0.2">
      <c r="B145" s="157"/>
      <c r="C145" s="169"/>
      <c r="D145" s="169"/>
      <c r="E145" s="169"/>
      <c r="F145" s="169"/>
      <c r="G145" s="169"/>
      <c r="H145" s="169"/>
      <c r="I145" s="169"/>
      <c r="J145" s="169"/>
      <c r="K145" s="169"/>
      <c r="L145" s="169"/>
      <c r="M145" s="169"/>
      <c r="N145" s="169"/>
      <c r="O145" s="169"/>
      <c r="P145" s="169"/>
      <c r="Q145" s="169"/>
      <c r="R145" s="169"/>
      <c r="S145" s="169"/>
      <c r="T145" s="169"/>
      <c r="U145" s="169"/>
      <c r="V145" s="169"/>
      <c r="X145" s="182"/>
      <c r="Y145" s="182"/>
      <c r="Z145" s="189"/>
      <c r="AA145" s="189"/>
      <c r="AB145" s="189"/>
      <c r="AC145" s="169"/>
      <c r="AD145" s="169"/>
      <c r="AE145" s="169"/>
      <c r="AF145" s="169"/>
      <c r="AG145" s="169"/>
    </row>
    <row r="146" spans="2:38" outlineLevel="1" x14ac:dyDescent="0.2">
      <c r="B146" s="157"/>
      <c r="C146" s="169"/>
      <c r="D146" s="169"/>
      <c r="E146" s="169"/>
      <c r="F146" s="169"/>
      <c r="G146" s="169"/>
      <c r="H146" s="169"/>
      <c r="I146" s="169"/>
      <c r="J146" s="169"/>
      <c r="K146" s="169"/>
      <c r="L146" s="169"/>
      <c r="M146" s="169"/>
      <c r="N146" s="169"/>
      <c r="O146" s="169"/>
      <c r="P146" s="169"/>
      <c r="Q146" s="169"/>
      <c r="R146" s="169"/>
      <c r="S146" s="169"/>
      <c r="T146" s="169"/>
      <c r="U146" s="169"/>
      <c r="V146" s="169"/>
      <c r="X146" s="182"/>
      <c r="Y146" s="182"/>
      <c r="Z146" s="189"/>
      <c r="AA146" s="189"/>
      <c r="AB146" s="189"/>
      <c r="AC146" s="169"/>
      <c r="AD146" s="169"/>
      <c r="AE146" s="169"/>
      <c r="AF146" s="169"/>
      <c r="AG146" s="169"/>
    </row>
    <row r="147" spans="2:38" outlineLevel="1" x14ac:dyDescent="0.2">
      <c r="B147" s="157"/>
      <c r="C147" s="169"/>
      <c r="D147" s="169"/>
      <c r="E147" s="169"/>
      <c r="F147" s="169"/>
      <c r="G147" s="169"/>
      <c r="H147" s="169"/>
      <c r="I147" s="169"/>
      <c r="J147" s="169"/>
      <c r="K147" s="169"/>
      <c r="L147" s="169"/>
      <c r="M147" s="169"/>
      <c r="N147" s="169"/>
      <c r="O147" s="169"/>
      <c r="P147" s="169"/>
      <c r="Q147" s="169"/>
      <c r="R147" s="169"/>
      <c r="S147" s="169"/>
      <c r="T147" s="169"/>
      <c r="U147" s="169"/>
      <c r="V147" s="169"/>
      <c r="X147" s="182"/>
      <c r="Y147" s="182"/>
      <c r="Z147" s="189"/>
      <c r="AA147" s="189"/>
      <c r="AB147" s="189"/>
      <c r="AC147" s="169"/>
      <c r="AD147" s="169"/>
      <c r="AE147" s="169"/>
      <c r="AF147" s="169"/>
      <c r="AG147" s="169"/>
    </row>
    <row r="148" spans="2:38" ht="15" outlineLevel="1" x14ac:dyDescent="0.25">
      <c r="B148" s="208" t="s">
        <v>279</v>
      </c>
      <c r="C148" s="207"/>
      <c r="D148" s="207"/>
      <c r="E148" s="207"/>
      <c r="F148" s="207"/>
      <c r="G148" s="207"/>
      <c r="H148" s="207"/>
      <c r="I148" s="207"/>
      <c r="J148" s="207"/>
      <c r="K148" s="207"/>
      <c r="L148" s="207"/>
      <c r="M148" s="207"/>
      <c r="N148" s="207"/>
      <c r="O148" s="207"/>
      <c r="P148" s="207"/>
      <c r="Q148" s="207"/>
      <c r="R148" s="207"/>
      <c r="S148" s="207"/>
      <c r="T148" s="207"/>
      <c r="U148" s="207"/>
      <c r="V148" s="207"/>
      <c r="X148" s="207"/>
      <c r="Y148" s="207"/>
      <c r="Z148" s="207"/>
      <c r="AA148" s="207"/>
      <c r="AB148" s="207"/>
      <c r="AC148" s="207"/>
      <c r="AD148" s="207"/>
      <c r="AE148" s="207"/>
      <c r="AF148" s="207"/>
      <c r="AG148" s="207"/>
    </row>
    <row r="149" spans="2:38" outlineLevel="1" x14ac:dyDescent="0.2"/>
    <row r="150" spans="2:38" outlineLevel="1" x14ac:dyDescent="0.2">
      <c r="B150" s="167" t="s">
        <v>197</v>
      </c>
      <c r="C150" s="173"/>
      <c r="D150" s="173"/>
      <c r="E150" s="173"/>
      <c r="F150" s="173"/>
      <c r="G150" s="173"/>
      <c r="H150" s="173"/>
      <c r="I150" s="173"/>
      <c r="J150" s="173"/>
      <c r="K150" s="173"/>
      <c r="L150" s="173"/>
      <c r="M150" s="173"/>
      <c r="N150" s="173"/>
      <c r="O150" s="173"/>
      <c r="P150" s="173"/>
      <c r="Q150" s="169"/>
    </row>
    <row r="151" spans="2:38" outlineLevel="1" x14ac:dyDescent="0.2">
      <c r="B151" s="157" t="s">
        <v>5</v>
      </c>
      <c r="C151" s="169">
        <f t="shared" ref="C151:Q151" si="477">SUM(C61,C77,C92,C111)</f>
        <v>534</v>
      </c>
      <c r="D151" s="169">
        <f t="shared" si="477"/>
        <v>544</v>
      </c>
      <c r="E151" s="169">
        <f t="shared" si="477"/>
        <v>599</v>
      </c>
      <c r="F151" s="169">
        <f t="shared" si="477"/>
        <v>605</v>
      </c>
      <c r="G151" s="169">
        <f t="shared" si="477"/>
        <v>631</v>
      </c>
      <c r="H151" s="169">
        <f t="shared" si="477"/>
        <v>652</v>
      </c>
      <c r="I151" s="169">
        <f t="shared" si="477"/>
        <v>683</v>
      </c>
      <c r="J151" s="169">
        <f t="shared" si="477"/>
        <v>732</v>
      </c>
      <c r="K151" s="169">
        <f t="shared" si="477"/>
        <v>795</v>
      </c>
      <c r="L151" s="169">
        <f t="shared" si="477"/>
        <v>821</v>
      </c>
      <c r="M151" s="169">
        <f t="shared" si="477"/>
        <v>798</v>
      </c>
      <c r="N151" s="169">
        <f t="shared" si="477"/>
        <v>852</v>
      </c>
      <c r="O151" s="169">
        <f t="shared" si="477"/>
        <v>885</v>
      </c>
      <c r="P151" s="169">
        <f t="shared" si="477"/>
        <v>933</v>
      </c>
      <c r="Q151" s="174">
        <f t="shared" si="477"/>
        <v>945</v>
      </c>
      <c r="R151" s="174">
        <f t="shared" ref="R151:V151" si="478">SUM(R61,R77,R92,R111)</f>
        <v>998.88123809523813</v>
      </c>
      <c r="S151" s="174">
        <f t="shared" si="478"/>
        <v>998.11031746031745</v>
      </c>
      <c r="T151" s="174">
        <f t="shared" si="478"/>
        <v>1038.4063492063492</v>
      </c>
      <c r="U151" s="174">
        <f t="shared" si="478"/>
        <v>1059.6023809523808</v>
      </c>
      <c r="V151" s="174">
        <f t="shared" si="478"/>
        <v>1136.2400793650795</v>
      </c>
      <c r="X151" s="233">
        <f>SUM(C151:F151)</f>
        <v>2282</v>
      </c>
      <c r="Y151" s="233">
        <f>SUM(G151:J151)</f>
        <v>2698</v>
      </c>
      <c r="Z151" s="190">
        <f>SUM(K151:N151)</f>
        <v>3266</v>
      </c>
      <c r="AA151" s="190">
        <f>SUM(O151:R151)</f>
        <v>3761.8812380952381</v>
      </c>
      <c r="AB151" s="190">
        <f>SUM(S151:V151)</f>
        <v>4232.3591269841272</v>
      </c>
      <c r="AC151" s="174">
        <f>SUM(AC61,AC77,AC92,AC111)</f>
        <v>5176.3547752817194</v>
      </c>
      <c r="AD151" s="174">
        <f>SUM(AD61,AD77,AD92,AD111)</f>
        <v>6050.9349189911254</v>
      </c>
      <c r="AE151" s="174">
        <f>SUM(AE61,AE77,AE92,AE111)</f>
        <v>7252.6806218419188</v>
      </c>
      <c r="AF151" s="174">
        <f>SUM(AF61,AF77,AF92,AF111)</f>
        <v>8159.873753482575</v>
      </c>
      <c r="AG151" s="174">
        <f>SUM(AG61,AG77,AG92,AG111)</f>
        <v>9244.1343691881229</v>
      </c>
      <c r="AI151" s="197">
        <f>RATE(6,,-AA151,AG151)</f>
        <v>0.16165418526587041</v>
      </c>
    </row>
    <row r="152" spans="2:38" outlineLevel="1" x14ac:dyDescent="0.2">
      <c r="B152" s="157" t="s">
        <v>6</v>
      </c>
      <c r="C152" s="169">
        <f t="shared" ref="C152:Q152" si="479">SUM(C63,C79,C94,C113)</f>
        <v>272</v>
      </c>
      <c r="D152" s="169">
        <f t="shared" si="479"/>
        <v>262</v>
      </c>
      <c r="E152" s="169">
        <f t="shared" si="479"/>
        <v>254</v>
      </c>
      <c r="F152" s="169">
        <f t="shared" si="479"/>
        <v>256</v>
      </c>
      <c r="G152" s="169">
        <f t="shared" si="479"/>
        <v>264</v>
      </c>
      <c r="H152" s="169">
        <f t="shared" si="479"/>
        <v>277</v>
      </c>
      <c r="I152" s="169">
        <f t="shared" si="479"/>
        <v>291</v>
      </c>
      <c r="J152" s="169">
        <f t="shared" si="479"/>
        <v>285</v>
      </c>
      <c r="K152" s="169">
        <f t="shared" si="479"/>
        <v>312</v>
      </c>
      <c r="L152" s="169">
        <f t="shared" si="479"/>
        <v>329</v>
      </c>
      <c r="M152" s="169">
        <f t="shared" si="479"/>
        <v>348</v>
      </c>
      <c r="N152" s="169">
        <f t="shared" si="479"/>
        <v>360</v>
      </c>
      <c r="O152" s="169">
        <f t="shared" si="479"/>
        <v>389</v>
      </c>
      <c r="P152" s="169">
        <f t="shared" si="479"/>
        <v>394</v>
      </c>
      <c r="Q152" s="169">
        <f t="shared" si="479"/>
        <v>392</v>
      </c>
      <c r="R152" s="169">
        <f t="shared" ref="R152:V152" si="480">SUM(R63,R79,R94,R113)</f>
        <v>391.43999999999994</v>
      </c>
      <c r="S152" s="169">
        <f t="shared" si="480"/>
        <v>409.25</v>
      </c>
      <c r="T152" s="169">
        <f t="shared" si="480"/>
        <v>417.25</v>
      </c>
      <c r="U152" s="169">
        <f t="shared" si="480"/>
        <v>417.5</v>
      </c>
      <c r="V152" s="169">
        <f t="shared" si="480"/>
        <v>430</v>
      </c>
      <c r="X152" s="182">
        <f>SUM(C152:F152)</f>
        <v>1044</v>
      </c>
      <c r="Y152" s="182">
        <f>SUM(G152:J152)</f>
        <v>1117</v>
      </c>
      <c r="Z152" s="189">
        <f>SUM(K152:N152)</f>
        <v>1349</v>
      </c>
      <c r="AA152" s="189">
        <f>SUM(O152:R152)</f>
        <v>1566.44</v>
      </c>
      <c r="AB152" s="189">
        <f>SUM(S152:V152)</f>
        <v>1674</v>
      </c>
      <c r="AC152" s="169">
        <f>SUM(AC63,AC79,AC94,AC113)</f>
        <v>1886.8599999999997</v>
      </c>
      <c r="AD152" s="169">
        <f>SUM(AD63,AD79,AD94,AD113)</f>
        <v>2025.4999999999998</v>
      </c>
      <c r="AE152" s="169">
        <f>SUM(AE63,AE79,AE94,AE113)</f>
        <v>2221</v>
      </c>
      <c r="AF152" s="169">
        <f>SUM(AF63,AF79,AF94,AF113)</f>
        <v>2332.0499999999997</v>
      </c>
      <c r="AG152" s="169">
        <f>SUM(AG63,AG79,AG94,AG113)</f>
        <v>2448.6524999999997</v>
      </c>
      <c r="AI152" s="197">
        <f>RATE(6,,-AA152,AG152)</f>
        <v>7.729728503030206E-2</v>
      </c>
    </row>
    <row r="153" spans="2:38" outlineLevel="1" x14ac:dyDescent="0.2">
      <c r="B153" s="157" t="s">
        <v>7</v>
      </c>
      <c r="C153" s="169">
        <f t="shared" ref="C153:Q153" si="481">SUM(C65,C81,C96,C115)</f>
        <v>176</v>
      </c>
      <c r="D153" s="169">
        <f t="shared" si="481"/>
        <v>160</v>
      </c>
      <c r="E153" s="169">
        <f t="shared" si="481"/>
        <v>199</v>
      </c>
      <c r="F153" s="169">
        <f t="shared" si="481"/>
        <v>190</v>
      </c>
      <c r="G153" s="169">
        <f t="shared" si="481"/>
        <v>182</v>
      </c>
      <c r="H153" s="169">
        <f t="shared" si="481"/>
        <v>185</v>
      </c>
      <c r="I153" s="169">
        <f t="shared" si="481"/>
        <v>193</v>
      </c>
      <c r="J153" s="169">
        <f t="shared" si="481"/>
        <v>230</v>
      </c>
      <c r="K153" s="169">
        <f t="shared" si="481"/>
        <v>207</v>
      </c>
      <c r="L153" s="169">
        <f t="shared" si="481"/>
        <v>200</v>
      </c>
      <c r="M153" s="169">
        <f t="shared" si="481"/>
        <v>227</v>
      </c>
      <c r="N153" s="169">
        <f t="shared" si="481"/>
        <v>244</v>
      </c>
      <c r="O153" s="169">
        <f t="shared" si="481"/>
        <v>262</v>
      </c>
      <c r="P153" s="169">
        <f t="shared" si="481"/>
        <v>275</v>
      </c>
      <c r="Q153" s="169">
        <f t="shared" si="481"/>
        <v>253</v>
      </c>
      <c r="R153" s="169">
        <f t="shared" ref="R153:V153" si="482">SUM(R65,R81,R96,R115)</f>
        <v>265.16000000000003</v>
      </c>
      <c r="S153" s="169">
        <f t="shared" si="482"/>
        <v>270</v>
      </c>
      <c r="T153" s="169">
        <f t="shared" si="482"/>
        <v>281.50000000000006</v>
      </c>
      <c r="U153" s="169">
        <f t="shared" si="482"/>
        <v>277.50000000000006</v>
      </c>
      <c r="V153" s="169">
        <f t="shared" si="482"/>
        <v>293.24999999999994</v>
      </c>
      <c r="X153" s="182">
        <f>SUM(C153:F153)</f>
        <v>725</v>
      </c>
      <c r="Y153" s="182">
        <f>SUM(G153:J153)</f>
        <v>790</v>
      </c>
      <c r="Z153" s="189">
        <f>SUM(K153:N153)</f>
        <v>878</v>
      </c>
      <c r="AA153" s="189">
        <f>SUM(O153:R153)</f>
        <v>1055.1600000000001</v>
      </c>
      <c r="AB153" s="189">
        <f>SUM(S153:V153)</f>
        <v>1122.25</v>
      </c>
      <c r="AC153" s="169">
        <f>SUM(AC65,AC81,AC96,AC115)</f>
        <v>1261</v>
      </c>
      <c r="AD153" s="169">
        <f>SUM(AD65,AD81,AD96,AD115)</f>
        <v>1344</v>
      </c>
      <c r="AE153" s="169">
        <f>SUM(AE65,AE81,AE96,AE115)</f>
        <v>1476</v>
      </c>
      <c r="AF153" s="169">
        <f>SUM(AF65,AF81,AF96,AF115)</f>
        <v>1549.8</v>
      </c>
      <c r="AG153" s="169">
        <f>SUM(AG65,AG81,AG96,AG115)</f>
        <v>1627.29</v>
      </c>
      <c r="AI153" s="197">
        <f>RATE(6,,-AA153,AG153)</f>
        <v>7.4874531681870901E-2</v>
      </c>
    </row>
    <row r="154" spans="2:38" outlineLevel="1" x14ac:dyDescent="0.2">
      <c r="B154" s="157" t="s">
        <v>8</v>
      </c>
      <c r="C154" s="169">
        <f t="shared" ref="C154:Q154" si="483">SUM(C67,C83,C98,C117)</f>
        <v>227</v>
      </c>
      <c r="D154" s="169">
        <f t="shared" si="483"/>
        <v>229</v>
      </c>
      <c r="E154" s="169">
        <f t="shared" si="483"/>
        <v>231</v>
      </c>
      <c r="F154" s="169">
        <f t="shared" si="483"/>
        <v>234</v>
      </c>
      <c r="G154" s="169">
        <f t="shared" si="483"/>
        <v>247</v>
      </c>
      <c r="H154" s="169">
        <f t="shared" si="483"/>
        <v>279</v>
      </c>
      <c r="I154" s="169">
        <f t="shared" si="483"/>
        <v>266</v>
      </c>
      <c r="J154" s="169">
        <f t="shared" si="483"/>
        <v>266</v>
      </c>
      <c r="K154" s="169">
        <f t="shared" si="483"/>
        <v>289</v>
      </c>
      <c r="L154" s="169">
        <f t="shared" si="483"/>
        <v>298</v>
      </c>
      <c r="M154" s="169">
        <f t="shared" si="483"/>
        <v>285</v>
      </c>
      <c r="N154" s="169">
        <f t="shared" si="483"/>
        <v>275</v>
      </c>
      <c r="O154" s="169">
        <f t="shared" si="483"/>
        <v>288</v>
      </c>
      <c r="P154" s="169">
        <f t="shared" si="483"/>
        <v>278</v>
      </c>
      <c r="Q154" s="169">
        <f t="shared" si="483"/>
        <v>245</v>
      </c>
      <c r="R154" s="169">
        <f t="shared" ref="R154:V154" si="484">SUM(R67,R83,R98,R117)</f>
        <v>246.744</v>
      </c>
      <c r="S154" s="169">
        <f t="shared" si="484"/>
        <v>251</v>
      </c>
      <c r="T154" s="169">
        <f t="shared" si="484"/>
        <v>252.333</v>
      </c>
      <c r="U154" s="169">
        <f t="shared" si="484"/>
        <v>250</v>
      </c>
      <c r="V154" s="169">
        <f t="shared" si="484"/>
        <v>272.66699999999997</v>
      </c>
      <c r="X154" s="182">
        <f>SUM(C154:F154)</f>
        <v>921</v>
      </c>
      <c r="Y154" s="182">
        <f>SUM(G154:J154)</f>
        <v>1058</v>
      </c>
      <c r="Z154" s="189">
        <f>SUM(K154:N154)</f>
        <v>1147</v>
      </c>
      <c r="AA154" s="189">
        <f>SUM(O154:R154)</f>
        <v>1057.7439999999999</v>
      </c>
      <c r="AB154" s="189">
        <f>SUM(S154:V154)</f>
        <v>1026</v>
      </c>
      <c r="AC154" s="169">
        <f>SUM(AC67,AC83,AC98,AC117)</f>
        <v>1132</v>
      </c>
      <c r="AD154" s="169">
        <f>SUM(AD67,AD83,AD98,AD117)</f>
        <v>1125.67</v>
      </c>
      <c r="AE154" s="169">
        <f>SUM(AE67,AE83,AE98,AE117)</f>
        <v>1178</v>
      </c>
      <c r="AF154" s="169">
        <f>SUM(AF67,AF83,AF98,AF117)</f>
        <v>1236.9000000000001</v>
      </c>
      <c r="AG154" s="169">
        <f>SUM(AG67,AG83,AG98,AG117)</f>
        <v>1298.7450000000001</v>
      </c>
      <c r="AI154" s="197">
        <f>RATE(6,,-AA154,AG154)</f>
        <v>3.4801905317442539E-2</v>
      </c>
    </row>
    <row r="155" spans="2:38" outlineLevel="1" x14ac:dyDescent="0.2">
      <c r="B155" s="157"/>
      <c r="C155" s="169"/>
      <c r="D155" s="169"/>
      <c r="E155" s="169"/>
      <c r="F155" s="169"/>
      <c r="G155" s="169"/>
      <c r="H155" s="169"/>
      <c r="I155" s="169"/>
      <c r="J155" s="169"/>
      <c r="K155" s="169"/>
      <c r="L155" s="169"/>
      <c r="M155" s="169"/>
      <c r="N155" s="169"/>
      <c r="O155" s="169"/>
      <c r="P155" s="169"/>
      <c r="Q155" s="169"/>
    </row>
    <row r="156" spans="2:38" outlineLevel="1" x14ac:dyDescent="0.2">
      <c r="C156" s="169"/>
      <c r="D156" s="169"/>
      <c r="E156" s="158"/>
      <c r="F156" s="158"/>
      <c r="G156" s="158"/>
      <c r="H156" s="158"/>
      <c r="I156" s="158"/>
      <c r="J156" s="158"/>
      <c r="K156" s="158"/>
      <c r="L156" s="158"/>
      <c r="M156" s="158"/>
      <c r="N156" s="158"/>
      <c r="O156" s="158"/>
      <c r="P156" s="158"/>
      <c r="Q156" s="158"/>
      <c r="R156" s="197"/>
      <c r="S156" s="197"/>
      <c r="T156" s="197"/>
      <c r="U156" s="197"/>
      <c r="V156" s="197"/>
      <c r="AJ156" s="156" t="s">
        <v>506</v>
      </c>
      <c r="AL156" s="216" t="s">
        <v>510</v>
      </c>
    </row>
    <row r="157" spans="2:38" outlineLevel="1" x14ac:dyDescent="0.2">
      <c r="B157" s="167" t="s">
        <v>198</v>
      </c>
      <c r="C157" s="173"/>
      <c r="D157" s="173"/>
      <c r="E157" s="173"/>
      <c r="F157" s="173"/>
      <c r="G157" s="173"/>
      <c r="H157" s="173"/>
      <c r="I157" s="173"/>
      <c r="J157" s="173"/>
      <c r="K157" s="173"/>
      <c r="L157" s="173"/>
      <c r="M157" s="173"/>
      <c r="N157" s="173"/>
      <c r="O157" s="173"/>
      <c r="P157" s="173"/>
      <c r="Q157" s="173"/>
      <c r="R157" s="173"/>
      <c r="S157" s="173"/>
      <c r="T157" s="173"/>
      <c r="U157" s="173"/>
      <c r="V157" s="173"/>
      <c r="Y157" s="197">
        <f>Y159-X159</f>
        <v>2.3048526873218622E-2</v>
      </c>
      <c r="Z157" s="197">
        <f t="shared" ref="Z157:AA157" si="485">Z159-Y159</f>
        <v>1.385889708963195E-3</v>
      </c>
      <c r="AA157" s="197">
        <f t="shared" si="485"/>
        <v>3.9446249503664543E-2</v>
      </c>
      <c r="AB157" s="197">
        <f>AVERAGE(Y157:AA157)</f>
        <v>2.1293555361948786E-2</v>
      </c>
      <c r="AC157" s="197"/>
    </row>
    <row r="158" spans="2:38" outlineLevel="1" x14ac:dyDescent="0.2">
      <c r="B158" s="157" t="s">
        <v>5</v>
      </c>
      <c r="C158" s="175">
        <v>132</v>
      </c>
      <c r="D158" s="175">
        <v>130</v>
      </c>
      <c r="E158" s="175">
        <v>151</v>
      </c>
      <c r="F158" s="175">
        <v>151</v>
      </c>
      <c r="G158" s="175">
        <v>173</v>
      </c>
      <c r="H158" s="175">
        <v>179</v>
      </c>
      <c r="I158" s="175">
        <v>186</v>
      </c>
      <c r="J158" s="175">
        <v>191</v>
      </c>
      <c r="K158" s="175">
        <v>212</v>
      </c>
      <c r="L158" s="175">
        <v>223</v>
      </c>
      <c r="M158" s="175">
        <v>219</v>
      </c>
      <c r="N158" s="175">
        <v>233</v>
      </c>
      <c r="O158" s="175">
        <v>249</v>
      </c>
      <c r="P158" s="175">
        <v>292</v>
      </c>
      <c r="Q158" s="175">
        <v>307</v>
      </c>
      <c r="R158" s="233">
        <f>R151*R159</f>
        <v>322.06652667748193</v>
      </c>
      <c r="S158" s="233">
        <f t="shared" ref="S158:V158" si="486">S151*S159</f>
        <v>318.65040453773287</v>
      </c>
      <c r="T158" s="233">
        <f t="shared" si="486"/>
        <v>337.47563293503345</v>
      </c>
      <c r="U158" s="233">
        <f t="shared" si="486"/>
        <v>352.76855672943668</v>
      </c>
      <c r="V158" s="233">
        <f t="shared" si="486"/>
        <v>391.56581196581197</v>
      </c>
      <c r="X158" s="233">
        <f>SUM(C158:F158)</f>
        <v>564</v>
      </c>
      <c r="Y158" s="233">
        <f>SUM(G158:J158)</f>
        <v>729</v>
      </c>
      <c r="Z158" s="190">
        <f>SUM(K158:N158)</f>
        <v>887</v>
      </c>
      <c r="AA158" s="190">
        <f>SUM(O158:R158)</f>
        <v>1170.066526677482</v>
      </c>
      <c r="AB158" s="190">
        <f>SUM(S158:V158)</f>
        <v>1400.460406168015</v>
      </c>
      <c r="AC158" s="233">
        <f>AC151*AC159</f>
        <v>1817.3419155440811</v>
      </c>
      <c r="AD158" s="233">
        <f t="shared" ref="AD158" si="487">AD151*AD159</f>
        <v>2245.412820093286</v>
      </c>
      <c r="AE158" s="233">
        <f t="shared" ref="AE158" si="488">AE151*AE159</f>
        <v>2836.4165615265701</v>
      </c>
      <c r="AF158" s="233">
        <f t="shared" ref="AF158" si="489">AF151*AF159</f>
        <v>3354.4039077149664</v>
      </c>
      <c r="AG158" s="233">
        <f t="shared" ref="AG158" si="490">AG151*AG159</f>
        <v>3985.0101634017137</v>
      </c>
      <c r="AI158" s="197">
        <f>RATE(6,,-AA158,AG158)</f>
        <v>0.22660052534892974</v>
      </c>
    </row>
    <row r="159" spans="2:38" outlineLevel="1" x14ac:dyDescent="0.2">
      <c r="B159" s="168" t="s">
        <v>28</v>
      </c>
      <c r="C159" s="180">
        <f t="shared" ref="C159:G159" si="491">C158/C151</f>
        <v>0.24719101123595505</v>
      </c>
      <c r="D159" s="180">
        <f t="shared" si="491"/>
        <v>0.23897058823529413</v>
      </c>
      <c r="E159" s="180">
        <f t="shared" si="491"/>
        <v>0.25208681135225375</v>
      </c>
      <c r="F159" s="180">
        <f t="shared" si="491"/>
        <v>0.24958677685950414</v>
      </c>
      <c r="G159" s="180">
        <f t="shared" si="491"/>
        <v>0.27416798732171155</v>
      </c>
      <c r="H159" s="180">
        <f t="shared" ref="H159" si="492">H158/H151</f>
        <v>0.27453987730061352</v>
      </c>
      <c r="I159" s="180">
        <f t="shared" ref="I159" si="493">I158/I151</f>
        <v>0.27232796486090777</v>
      </c>
      <c r="J159" s="180">
        <f t="shared" ref="J159" si="494">J158/J151</f>
        <v>0.26092896174863389</v>
      </c>
      <c r="K159" s="180">
        <f>K158/K151</f>
        <v>0.26666666666666666</v>
      </c>
      <c r="L159" s="180">
        <f t="shared" ref="L159:Q159" si="495">L158/L151</f>
        <v>0.27161997563946405</v>
      </c>
      <c r="M159" s="180">
        <f t="shared" si="495"/>
        <v>0.27443609022556392</v>
      </c>
      <c r="N159" s="180">
        <f t="shared" si="495"/>
        <v>0.27347417840375587</v>
      </c>
      <c r="O159" s="180">
        <f t="shared" si="495"/>
        <v>0.28135593220338984</v>
      </c>
      <c r="P159" s="180">
        <f t="shared" si="495"/>
        <v>0.31296891747052519</v>
      </c>
      <c r="Q159" s="180">
        <f t="shared" si="495"/>
        <v>0.32486772486772486</v>
      </c>
      <c r="R159" s="250">
        <f>'vs. Consensus'!G29</f>
        <v>0.32242724599736106</v>
      </c>
      <c r="S159" s="250">
        <f>'vs. Consensus'!H29</f>
        <v>0.31925369266649389</v>
      </c>
      <c r="T159" s="250">
        <f>'vs. Consensus'!I29</f>
        <v>0.32499380728263561</v>
      </c>
      <c r="U159" s="250">
        <f>'vs. Consensus'!J29</f>
        <v>0.33292540963560774</v>
      </c>
      <c r="V159" s="250">
        <f>'vs. Consensus'!K29</f>
        <v>0.3446153846153846</v>
      </c>
      <c r="X159" s="342">
        <f t="shared" ref="X159:Z159" si="496">X158/X151</f>
        <v>0.24715162138475022</v>
      </c>
      <c r="Y159" s="342">
        <f t="shared" si="496"/>
        <v>0.27020014825796884</v>
      </c>
      <c r="Z159" s="342">
        <f t="shared" si="496"/>
        <v>0.27158603796693204</v>
      </c>
      <c r="AA159" s="342">
        <f t="shared" ref="AA159" si="497">AA158/AA151</f>
        <v>0.31103228747059658</v>
      </c>
      <c r="AB159" s="342">
        <f t="shared" ref="AB159" si="498">AB158/AB151</f>
        <v>0.33089356648379409</v>
      </c>
      <c r="AC159" s="250">
        <f>'vs. Consensus'!T29</f>
        <v>0.35108527031846914</v>
      </c>
      <c r="AD159" s="250">
        <f>IF($AL$156="Yes",'vs. Consensus'!U29,AC159+$AL$159)</f>
        <v>0.37108527031846916</v>
      </c>
      <c r="AE159" s="250">
        <f>AD159+$AL$159</f>
        <v>0.39108527031846918</v>
      </c>
      <c r="AF159" s="250">
        <f>AE159+$AL$159</f>
        <v>0.4110852703184692</v>
      </c>
      <c r="AG159" s="250">
        <f>AF159+$AL$159</f>
        <v>0.43108527031846922</v>
      </c>
      <c r="AI159" s="197"/>
      <c r="AJ159" s="156" t="s">
        <v>474</v>
      </c>
      <c r="AL159" s="356">
        <v>0.02</v>
      </c>
    </row>
    <row r="160" spans="2:38" outlineLevel="1" x14ac:dyDescent="0.2">
      <c r="B160" s="157" t="s">
        <v>6</v>
      </c>
      <c r="C160" s="175">
        <v>57</v>
      </c>
      <c r="D160" s="175">
        <v>63</v>
      </c>
      <c r="E160" s="175">
        <v>59</v>
      </c>
      <c r="F160" s="175">
        <v>60</v>
      </c>
      <c r="G160" s="175">
        <v>56</v>
      </c>
      <c r="H160" s="175">
        <v>56</v>
      </c>
      <c r="I160" s="175">
        <v>64</v>
      </c>
      <c r="J160" s="175">
        <v>58</v>
      </c>
      <c r="K160" s="175">
        <v>58</v>
      </c>
      <c r="L160" s="175">
        <v>64</v>
      </c>
      <c r="M160" s="175">
        <v>76</v>
      </c>
      <c r="N160" s="175">
        <v>80</v>
      </c>
      <c r="O160" s="175">
        <v>92</v>
      </c>
      <c r="P160" s="175">
        <v>101</v>
      </c>
      <c r="Q160" s="175">
        <v>102</v>
      </c>
      <c r="R160" s="182">
        <f>R152*R161</f>
        <v>100.74999999999999</v>
      </c>
      <c r="S160" s="182">
        <f t="shared" ref="S160:V160" si="499">S152*S161</f>
        <v>101</v>
      </c>
      <c r="T160" s="182">
        <f t="shared" si="499"/>
        <v>110</v>
      </c>
      <c r="U160" s="182">
        <f t="shared" si="499"/>
        <v>117.333</v>
      </c>
      <c r="V160" s="182">
        <f t="shared" si="499"/>
        <v>124.33300000000001</v>
      </c>
      <c r="X160" s="182">
        <f>SUM(C160:F160)</f>
        <v>239</v>
      </c>
      <c r="Y160" s="182">
        <f>SUM(G160:J160)</f>
        <v>234</v>
      </c>
      <c r="Z160" s="189">
        <f>SUM(K160:N160)</f>
        <v>278</v>
      </c>
      <c r="AA160" s="189">
        <f>SUM(O160:R160)</f>
        <v>395.75</v>
      </c>
      <c r="AB160" s="189">
        <f>SUM(S160:V160)</f>
        <v>452.666</v>
      </c>
      <c r="AC160" s="182">
        <f>AC152*AC161</f>
        <v>528</v>
      </c>
      <c r="AD160" s="182">
        <f t="shared" ref="AD160" si="500">AD152*AD161</f>
        <v>587</v>
      </c>
      <c r="AE160" s="182">
        <f t="shared" ref="AE160" si="501">AE152*AE161</f>
        <v>654.76187484571722</v>
      </c>
      <c r="AF160" s="182">
        <f t="shared" ref="AF160" si="502">AF152*AF161</f>
        <v>699.16021858800298</v>
      </c>
      <c r="AG160" s="182">
        <f t="shared" ref="AG160" si="503">AG152*AG161</f>
        <v>746.36149201740307</v>
      </c>
      <c r="AI160" s="197">
        <f>RATE(6,,-AA160,AG160)</f>
        <v>0.11153049836538673</v>
      </c>
      <c r="AL160" s="357"/>
    </row>
    <row r="161" spans="2:38" outlineLevel="1" x14ac:dyDescent="0.2">
      <c r="B161" s="168" t="s">
        <v>28</v>
      </c>
      <c r="C161" s="180">
        <f t="shared" ref="C161:G161" si="504">C160/C152</f>
        <v>0.20955882352941177</v>
      </c>
      <c r="D161" s="180">
        <f t="shared" si="504"/>
        <v>0.24045801526717558</v>
      </c>
      <c r="E161" s="180">
        <f t="shared" si="504"/>
        <v>0.23228346456692914</v>
      </c>
      <c r="F161" s="180">
        <f t="shared" si="504"/>
        <v>0.234375</v>
      </c>
      <c r="G161" s="180">
        <f t="shared" si="504"/>
        <v>0.21212121212121213</v>
      </c>
      <c r="H161" s="180">
        <f t="shared" ref="H161" si="505">H160/H152</f>
        <v>0.20216606498194944</v>
      </c>
      <c r="I161" s="180">
        <f t="shared" ref="I161" si="506">I160/I152</f>
        <v>0.21993127147766323</v>
      </c>
      <c r="J161" s="180">
        <f t="shared" ref="J161" si="507">J160/J152</f>
        <v>0.20350877192982456</v>
      </c>
      <c r="K161" s="180">
        <f>K160/K152</f>
        <v>0.1858974358974359</v>
      </c>
      <c r="L161" s="180">
        <f t="shared" ref="L161:Q161" si="508">L160/L152</f>
        <v>0.19452887537993921</v>
      </c>
      <c r="M161" s="180">
        <f t="shared" si="508"/>
        <v>0.21839080459770116</v>
      </c>
      <c r="N161" s="180">
        <f t="shared" si="508"/>
        <v>0.22222222222222221</v>
      </c>
      <c r="O161" s="180">
        <f t="shared" si="508"/>
        <v>0.23650385604113111</v>
      </c>
      <c r="P161" s="180">
        <f t="shared" si="508"/>
        <v>0.25634517766497461</v>
      </c>
      <c r="Q161" s="180">
        <f t="shared" si="508"/>
        <v>0.26020408163265307</v>
      </c>
      <c r="R161" s="250">
        <f>'vs. Consensus'!G30</f>
        <v>0.25738299611690169</v>
      </c>
      <c r="S161" s="250">
        <f>'vs. Consensus'!H30</f>
        <v>0.24679291386682956</v>
      </c>
      <c r="T161" s="250">
        <f>'vs. Consensus'!I30</f>
        <v>0.26363091671659677</v>
      </c>
      <c r="U161" s="250">
        <f>'vs. Consensus'!J30</f>
        <v>0.28103712574850298</v>
      </c>
      <c r="V161" s="250">
        <f>'vs. Consensus'!K30</f>
        <v>0.289146511627907</v>
      </c>
      <c r="X161" s="180">
        <f t="shared" ref="X161:Z161" si="509">X160/X152</f>
        <v>0.22892720306513409</v>
      </c>
      <c r="Y161" s="180">
        <f t="shared" si="509"/>
        <v>0.20948970456580127</v>
      </c>
      <c r="Z161" s="180">
        <f t="shared" si="509"/>
        <v>0.20607857672349889</v>
      </c>
      <c r="AA161" s="180">
        <f t="shared" ref="AA161" si="510">AA160/AA152</f>
        <v>0.25264293557365747</v>
      </c>
      <c r="AB161" s="180">
        <f t="shared" ref="AB161" si="511">AB160/AB152</f>
        <v>0.27040979689366784</v>
      </c>
      <c r="AC161" s="250">
        <f>'vs. Consensus'!T30</f>
        <v>0.27982998208664134</v>
      </c>
      <c r="AD161" s="250">
        <f>'vs. Consensus'!U30</f>
        <v>0.28980498642310543</v>
      </c>
      <c r="AE161" s="250">
        <f t="shared" ref="AE161:AG161" si="512">AD161+0.5%</f>
        <v>0.29480498642310543</v>
      </c>
      <c r="AF161" s="250">
        <f t="shared" si="512"/>
        <v>0.29980498642310544</v>
      </c>
      <c r="AG161" s="250">
        <f t="shared" si="512"/>
        <v>0.30480498642310544</v>
      </c>
      <c r="AJ161" s="156" t="s">
        <v>474</v>
      </c>
      <c r="AL161" s="356">
        <v>5.0000000000000001E-3</v>
      </c>
    </row>
    <row r="162" spans="2:38" outlineLevel="1" x14ac:dyDescent="0.2">
      <c r="B162" s="157" t="s">
        <v>7</v>
      </c>
      <c r="C162" s="175">
        <v>22</v>
      </c>
      <c r="D162" s="175">
        <v>24</v>
      </c>
      <c r="E162" s="175">
        <v>26</v>
      </c>
      <c r="F162" s="175">
        <v>31</v>
      </c>
      <c r="G162" s="175">
        <v>23</v>
      </c>
      <c r="H162" s="175">
        <v>26</v>
      </c>
      <c r="I162" s="175">
        <v>28</v>
      </c>
      <c r="J162" s="175">
        <v>34</v>
      </c>
      <c r="K162" s="175">
        <v>30</v>
      </c>
      <c r="L162" s="175">
        <v>20</v>
      </c>
      <c r="M162" s="175">
        <v>30</v>
      </c>
      <c r="N162" s="175">
        <v>33</v>
      </c>
      <c r="O162" s="175">
        <v>37</v>
      </c>
      <c r="P162" s="175">
        <v>40</v>
      </c>
      <c r="Q162" s="175">
        <v>38</v>
      </c>
      <c r="R162" s="182">
        <f>R153*R163</f>
        <v>40.7667</v>
      </c>
      <c r="S162" s="182">
        <f t="shared" ref="S162:V162" si="513">S153*S163</f>
        <v>40.333300000000001</v>
      </c>
      <c r="T162" s="182">
        <f t="shared" si="513"/>
        <v>43.333300000000008</v>
      </c>
      <c r="U162" s="182">
        <f t="shared" si="513"/>
        <v>44.666700000000006</v>
      </c>
      <c r="V162" s="182">
        <f t="shared" si="513"/>
        <v>51.666699999999992</v>
      </c>
      <c r="X162" s="182">
        <f>SUM(C162:F162)</f>
        <v>103</v>
      </c>
      <c r="Y162" s="182">
        <f>SUM(G162:J162)</f>
        <v>111</v>
      </c>
      <c r="Z162" s="189">
        <f>SUM(K162:N162)</f>
        <v>113</v>
      </c>
      <c r="AA162" s="189">
        <f>SUM(O162:R162)</f>
        <v>155.76670000000001</v>
      </c>
      <c r="AB162" s="189">
        <f>SUM(S162:V162)</f>
        <v>180</v>
      </c>
      <c r="AC162" s="182">
        <f>AC153*AC163</f>
        <v>209.333</v>
      </c>
      <c r="AD162" s="182">
        <f t="shared" ref="AD162" si="514">AD153*AD163</f>
        <v>233</v>
      </c>
      <c r="AE162" s="182">
        <f t="shared" ref="AE162" si="515">AE153*AE163</f>
        <v>263.26392857142855</v>
      </c>
      <c r="AF162" s="182">
        <f t="shared" ref="AF162" si="516">AF153*AF163</f>
        <v>284.17612500000001</v>
      </c>
      <c r="AG162" s="182">
        <f t="shared" ref="AG162" si="517">AG153*AG163</f>
        <v>306.52138124999999</v>
      </c>
      <c r="AI162" s="197">
        <f>RATE(6,,-AA162,AG162)</f>
        <v>0.11943193553545883</v>
      </c>
      <c r="AL162" s="357"/>
    </row>
    <row r="163" spans="2:38" outlineLevel="1" x14ac:dyDescent="0.2">
      <c r="B163" s="168" t="s">
        <v>28</v>
      </c>
      <c r="C163" s="180">
        <f t="shared" ref="C163:G163" si="518">C162/C153</f>
        <v>0.125</v>
      </c>
      <c r="D163" s="180">
        <f t="shared" si="518"/>
        <v>0.15</v>
      </c>
      <c r="E163" s="180">
        <f t="shared" si="518"/>
        <v>0.1306532663316583</v>
      </c>
      <c r="F163" s="180">
        <f t="shared" si="518"/>
        <v>0.16315789473684211</v>
      </c>
      <c r="G163" s="180">
        <f t="shared" si="518"/>
        <v>0.12637362637362637</v>
      </c>
      <c r="H163" s="180">
        <f t="shared" ref="H163" si="519">H162/H153</f>
        <v>0.14054054054054055</v>
      </c>
      <c r="I163" s="180">
        <f t="shared" ref="I163" si="520">I162/I153</f>
        <v>0.14507772020725387</v>
      </c>
      <c r="J163" s="180">
        <f t="shared" ref="J163" si="521">J162/J153</f>
        <v>0.14782608695652175</v>
      </c>
      <c r="K163" s="180">
        <f>K162/K153</f>
        <v>0.14492753623188406</v>
      </c>
      <c r="L163" s="180">
        <f t="shared" ref="L163:Q163" si="522">L162/L153</f>
        <v>0.1</v>
      </c>
      <c r="M163" s="180">
        <f t="shared" si="522"/>
        <v>0.13215859030837004</v>
      </c>
      <c r="N163" s="180">
        <f t="shared" si="522"/>
        <v>0.13524590163934427</v>
      </c>
      <c r="O163" s="180">
        <f t="shared" si="522"/>
        <v>0.14122137404580154</v>
      </c>
      <c r="P163" s="180">
        <f t="shared" si="522"/>
        <v>0.14545454545454545</v>
      </c>
      <c r="Q163" s="180">
        <f t="shared" si="522"/>
        <v>0.15019762845849802</v>
      </c>
      <c r="R163" s="250">
        <f>'vs. Consensus'!G31</f>
        <v>0.15374377734198219</v>
      </c>
      <c r="S163" s="250">
        <f>'vs. Consensus'!H31</f>
        <v>0.14938259259259259</v>
      </c>
      <c r="T163" s="250">
        <f>'vs. Consensus'!I31</f>
        <v>0.15393712255772646</v>
      </c>
      <c r="U163" s="250">
        <f>'vs. Consensus'!J31</f>
        <v>0.16096108108108106</v>
      </c>
      <c r="V163" s="250">
        <f>'vs. Consensus'!K31</f>
        <v>0.17618653026427963</v>
      </c>
      <c r="X163" s="180">
        <f t="shared" ref="X163:Z163" si="523">X162/X153</f>
        <v>0.14206896551724138</v>
      </c>
      <c r="Y163" s="180">
        <f t="shared" si="523"/>
        <v>0.14050632911392405</v>
      </c>
      <c r="Z163" s="180">
        <f t="shared" si="523"/>
        <v>0.12870159453302962</v>
      </c>
      <c r="AA163" s="180">
        <f t="shared" ref="AA163" si="524">AA162/AA153</f>
        <v>0.14762377269797947</v>
      </c>
      <c r="AB163" s="180">
        <f>AB162/AB153</f>
        <v>0.16039206950323012</v>
      </c>
      <c r="AC163" s="250">
        <f>'vs. Consensus'!T31</f>
        <v>0.16600555114988105</v>
      </c>
      <c r="AD163" s="250">
        <f>'vs. Consensus'!U31</f>
        <v>0.17336309523809523</v>
      </c>
      <c r="AE163" s="250">
        <f t="shared" ref="AE163:AG163" si="525">AD163+$AL$163</f>
        <v>0.17836309523809524</v>
      </c>
      <c r="AF163" s="250">
        <f t="shared" si="525"/>
        <v>0.18336309523809524</v>
      </c>
      <c r="AG163" s="250">
        <f t="shared" si="525"/>
        <v>0.18836309523809525</v>
      </c>
      <c r="AJ163" s="156" t="s">
        <v>474</v>
      </c>
      <c r="AL163" s="356">
        <v>5.0000000000000001E-3</v>
      </c>
    </row>
    <row r="164" spans="2:38" outlineLevel="1" x14ac:dyDescent="0.2">
      <c r="B164" s="157" t="s">
        <v>8</v>
      </c>
      <c r="C164" s="175">
        <v>80</v>
      </c>
      <c r="D164" s="175">
        <v>70</v>
      </c>
      <c r="E164" s="175">
        <v>72</v>
      </c>
      <c r="F164" s="175">
        <v>72</v>
      </c>
      <c r="G164" s="175">
        <v>67</v>
      </c>
      <c r="H164" s="175">
        <v>75</v>
      </c>
      <c r="I164" s="175">
        <v>64</v>
      </c>
      <c r="J164" s="175">
        <v>72</v>
      </c>
      <c r="K164" s="175">
        <v>79</v>
      </c>
      <c r="L164" s="175">
        <v>81</v>
      </c>
      <c r="M164" s="175">
        <v>77</v>
      </c>
      <c r="N164" s="175">
        <v>72</v>
      </c>
      <c r="O164" s="175">
        <v>82</v>
      </c>
      <c r="P164" s="175">
        <v>75</v>
      </c>
      <c r="Q164" s="175">
        <v>64</v>
      </c>
      <c r="R164" s="182">
        <f>R154*R165</f>
        <v>62.259999999999991</v>
      </c>
      <c r="S164" s="182">
        <f t="shared" ref="S164:V164" si="526">S154*S165</f>
        <v>60.5</v>
      </c>
      <c r="T164" s="182">
        <f t="shared" si="526"/>
        <v>60.5</v>
      </c>
      <c r="U164" s="182">
        <f t="shared" si="526"/>
        <v>64</v>
      </c>
      <c r="V164" s="182">
        <f t="shared" si="526"/>
        <v>79</v>
      </c>
      <c r="X164" s="182">
        <f>SUM(C164:F164)</f>
        <v>294</v>
      </c>
      <c r="Y164" s="182">
        <f>SUM(G164:J164)</f>
        <v>278</v>
      </c>
      <c r="Z164" s="189">
        <f>SUM(K164:N164)</f>
        <v>309</v>
      </c>
      <c r="AA164" s="189">
        <f>SUM(O164:R164)</f>
        <v>283.26</v>
      </c>
      <c r="AB164" s="189">
        <f>SUM(S164:V164)</f>
        <v>264</v>
      </c>
      <c r="AC164" s="182">
        <f>AC154*AC165</f>
        <v>328</v>
      </c>
      <c r="AD164" s="182">
        <f t="shared" ref="AD164" si="527">AD154*AD165</f>
        <v>331.79421572438167</v>
      </c>
      <c r="AE164" s="182">
        <f t="shared" ref="AE164" si="528">AE154*AE165</f>
        <v>353.10862190812725</v>
      </c>
      <c r="AF164" s="182">
        <f t="shared" ref="AF164" si="529">AF154*AF165</f>
        <v>376.94855300353362</v>
      </c>
      <c r="AG164" s="182">
        <f t="shared" ref="AG164" si="530">AG154*AG165</f>
        <v>402.28970565371031</v>
      </c>
      <c r="AI164" s="197">
        <f>RATE(6,,-AA164,AG164)</f>
        <v>6.0210932252513588E-2</v>
      </c>
    </row>
    <row r="165" spans="2:38" outlineLevel="1" x14ac:dyDescent="0.2">
      <c r="B165" s="168" t="s">
        <v>28</v>
      </c>
      <c r="C165" s="180">
        <f t="shared" ref="C165:G165" si="531">C164/C154</f>
        <v>0.3524229074889868</v>
      </c>
      <c r="D165" s="180">
        <f t="shared" si="531"/>
        <v>0.3056768558951965</v>
      </c>
      <c r="E165" s="180">
        <f t="shared" si="531"/>
        <v>0.31168831168831168</v>
      </c>
      <c r="F165" s="180">
        <f t="shared" si="531"/>
        <v>0.30769230769230771</v>
      </c>
      <c r="G165" s="180">
        <f t="shared" si="531"/>
        <v>0.27125506072874495</v>
      </c>
      <c r="H165" s="180">
        <f t="shared" ref="H165" si="532">H164/H154</f>
        <v>0.26881720430107525</v>
      </c>
      <c r="I165" s="180">
        <f t="shared" ref="I165" si="533">I164/I154</f>
        <v>0.24060150375939848</v>
      </c>
      <c r="J165" s="180">
        <f t="shared" ref="J165" si="534">J164/J154</f>
        <v>0.27067669172932329</v>
      </c>
      <c r="K165" s="180">
        <f>K164/K154</f>
        <v>0.27335640138408307</v>
      </c>
      <c r="L165" s="180">
        <f t="shared" ref="L165:Q165" si="535">L164/L154</f>
        <v>0.27181208053691275</v>
      </c>
      <c r="M165" s="180">
        <f t="shared" si="535"/>
        <v>0.27017543859649124</v>
      </c>
      <c r="N165" s="180">
        <f t="shared" si="535"/>
        <v>0.26181818181818184</v>
      </c>
      <c r="O165" s="180">
        <f t="shared" si="535"/>
        <v>0.28472222222222221</v>
      </c>
      <c r="P165" s="180">
        <f t="shared" si="535"/>
        <v>0.26978417266187049</v>
      </c>
      <c r="Q165" s="180">
        <f t="shared" si="535"/>
        <v>0.26122448979591839</v>
      </c>
      <c r="R165" s="250">
        <f>'vs. Consensus'!G32</f>
        <v>0.25232629770126119</v>
      </c>
      <c r="S165" s="250">
        <f>'vs. Consensus'!H32</f>
        <v>0.24103585657370519</v>
      </c>
      <c r="T165" s="250">
        <f>'vs. Consensus'!I32</f>
        <v>0.23976253601391811</v>
      </c>
      <c r="U165" s="250">
        <f>'vs. Consensus'!J32</f>
        <v>0.25600000000000001</v>
      </c>
      <c r="V165" s="250">
        <f>'vs. Consensus'!K32</f>
        <v>0.28973069715073702</v>
      </c>
      <c r="X165" s="180">
        <f t="shared" ref="X165:Z165" si="536">X164/X154</f>
        <v>0.31921824104234525</v>
      </c>
      <c r="Y165" s="180">
        <f t="shared" si="536"/>
        <v>0.26275992438563328</v>
      </c>
      <c r="Z165" s="180">
        <f t="shared" si="536"/>
        <v>0.26939843068875324</v>
      </c>
      <c r="AA165" s="180">
        <f t="shared" ref="AA165" si="537">AA164/AA154</f>
        <v>0.26779636660666478</v>
      </c>
      <c r="AB165" s="180">
        <f t="shared" ref="AB165" si="538">AB164/AB154</f>
        <v>0.25730994152046782</v>
      </c>
      <c r="AC165" s="250">
        <f>'vs. Consensus'!T32</f>
        <v>0.28975265017667845</v>
      </c>
      <c r="AD165" s="250">
        <f>AC165+$AL$165</f>
        <v>0.29475265017667845</v>
      </c>
      <c r="AE165" s="250">
        <f t="shared" ref="AE165:AG165" si="539">AD165+$AL$165</f>
        <v>0.29975265017667846</v>
      </c>
      <c r="AF165" s="250">
        <f t="shared" si="539"/>
        <v>0.30475265017667846</v>
      </c>
      <c r="AG165" s="250">
        <f t="shared" si="539"/>
        <v>0.30975265017667847</v>
      </c>
      <c r="AJ165" s="156" t="s">
        <v>474</v>
      </c>
      <c r="AL165" s="356">
        <v>5.0000000000000001E-3</v>
      </c>
    </row>
    <row r="166" spans="2:38" outlineLevel="1" x14ac:dyDescent="0.2">
      <c r="B166" s="162" t="s">
        <v>188</v>
      </c>
      <c r="C166" s="174">
        <f t="shared" ref="C166:J166" si="540">SUM(C158,C160,C162,C164)</f>
        <v>291</v>
      </c>
      <c r="D166" s="174">
        <f t="shared" si="540"/>
        <v>287</v>
      </c>
      <c r="E166" s="174">
        <f t="shared" si="540"/>
        <v>308</v>
      </c>
      <c r="F166" s="174">
        <f t="shared" si="540"/>
        <v>314</v>
      </c>
      <c r="G166" s="174">
        <f t="shared" si="540"/>
        <v>319</v>
      </c>
      <c r="H166" s="174">
        <f t="shared" si="540"/>
        <v>336</v>
      </c>
      <c r="I166" s="174">
        <f t="shared" si="540"/>
        <v>342</v>
      </c>
      <c r="J166" s="174">
        <f t="shared" si="540"/>
        <v>355</v>
      </c>
      <c r="K166" s="174">
        <f>SUM(K158,K160,K162,K164)</f>
        <v>379</v>
      </c>
      <c r="L166" s="174">
        <f t="shared" ref="L166:V166" si="541">SUM(L158,L160,L162,L164)</f>
        <v>388</v>
      </c>
      <c r="M166" s="174">
        <f t="shared" si="541"/>
        <v>402</v>
      </c>
      <c r="N166" s="174">
        <f t="shared" si="541"/>
        <v>418</v>
      </c>
      <c r="O166" s="174">
        <f t="shared" si="541"/>
        <v>460</v>
      </c>
      <c r="P166" s="174">
        <f t="shared" si="541"/>
        <v>508</v>
      </c>
      <c r="Q166" s="174">
        <f t="shared" si="541"/>
        <v>511</v>
      </c>
      <c r="R166" s="174">
        <f t="shared" si="541"/>
        <v>525.84322667748188</v>
      </c>
      <c r="S166" s="174">
        <f t="shared" si="541"/>
        <v>520.48370453773282</v>
      </c>
      <c r="T166" s="174">
        <f t="shared" si="541"/>
        <v>551.30893293503345</v>
      </c>
      <c r="U166" s="174">
        <f t="shared" si="541"/>
        <v>578.76825672943664</v>
      </c>
      <c r="V166" s="174">
        <f t="shared" si="541"/>
        <v>646.56551196581199</v>
      </c>
      <c r="X166" s="174">
        <f t="shared" ref="X166:AG166" si="542">SUM(X158,X160,X162,X164)</f>
        <v>1200</v>
      </c>
      <c r="Y166" s="174">
        <f>SUM(Y158,Y160,Y162,Y164)</f>
        <v>1352</v>
      </c>
      <c r="Z166" s="174">
        <f t="shared" si="542"/>
        <v>1587</v>
      </c>
      <c r="AA166" s="174">
        <f t="shared" si="542"/>
        <v>2004.8432266774819</v>
      </c>
      <c r="AB166" s="174">
        <f t="shared" si="542"/>
        <v>2297.1264061680149</v>
      </c>
      <c r="AC166" s="174">
        <f t="shared" si="542"/>
        <v>2882.6749155440812</v>
      </c>
      <c r="AD166" s="174">
        <f t="shared" si="542"/>
        <v>3397.2070358176675</v>
      </c>
      <c r="AE166" s="174">
        <f t="shared" si="542"/>
        <v>4107.5509868518429</v>
      </c>
      <c r="AF166" s="174">
        <f t="shared" si="542"/>
        <v>4714.6888043065028</v>
      </c>
      <c r="AG166" s="174">
        <f t="shared" si="542"/>
        <v>5440.1827423228269</v>
      </c>
      <c r="AI166" s="197">
        <f>RATE(6,,-AA166,AG166)</f>
        <v>0.18101526704962217</v>
      </c>
    </row>
    <row r="167" spans="2:38" outlineLevel="1" x14ac:dyDescent="0.2">
      <c r="B167" s="168" t="s">
        <v>28</v>
      </c>
      <c r="C167" s="158">
        <f t="shared" ref="C167:P167" si="543">C166/C$122</f>
        <v>0.24069478908188585</v>
      </c>
      <c r="D167" s="158">
        <f t="shared" si="543"/>
        <v>0.24016736401673641</v>
      </c>
      <c r="E167" s="158">
        <f t="shared" si="543"/>
        <v>0.24006235385814498</v>
      </c>
      <c r="F167" s="158">
        <f t="shared" si="543"/>
        <v>0.24435797665369649</v>
      </c>
      <c r="G167" s="158">
        <f t="shared" si="543"/>
        <v>0.24093655589123866</v>
      </c>
      <c r="H167" s="158">
        <f t="shared" si="543"/>
        <v>0.24120603015075376</v>
      </c>
      <c r="I167" s="158">
        <f t="shared" si="543"/>
        <v>0.23866015352407538</v>
      </c>
      <c r="J167" s="158">
        <f t="shared" si="543"/>
        <v>0.23463317911434237</v>
      </c>
      <c r="K167" s="158">
        <f t="shared" si="543"/>
        <v>0.2364316905801622</v>
      </c>
      <c r="L167" s="158">
        <f t="shared" si="543"/>
        <v>0.2354368932038835</v>
      </c>
      <c r="M167" s="158">
        <f t="shared" si="543"/>
        <v>0.24246079613992763</v>
      </c>
      <c r="N167" s="158">
        <f t="shared" si="543"/>
        <v>0.24147891392258811</v>
      </c>
      <c r="O167" s="158">
        <f t="shared" si="543"/>
        <v>0.25219298245614036</v>
      </c>
      <c r="P167" s="158">
        <f t="shared" si="543"/>
        <v>0.27021276595744681</v>
      </c>
      <c r="Q167" s="158">
        <f>Q166/Q$122</f>
        <v>0.2784741144414169</v>
      </c>
      <c r="R167" s="158">
        <f t="shared" ref="R167:V167" si="544">R166/R$122</f>
        <v>0.27643583743217826</v>
      </c>
      <c r="S167" s="158">
        <f t="shared" si="544"/>
        <v>0.26990998509200737</v>
      </c>
      <c r="T167" s="158">
        <f t="shared" si="544"/>
        <v>0.277110773754563</v>
      </c>
      <c r="U167" s="158">
        <f t="shared" si="544"/>
        <v>0.28871972927342598</v>
      </c>
      <c r="V167" s="158">
        <f t="shared" si="544"/>
        <v>0.30324478352146006</v>
      </c>
      <c r="X167" s="158">
        <f t="shared" ref="X167:AG167" si="545">X166/X$122</f>
        <v>0.24135156878519709</v>
      </c>
      <c r="Y167" s="158">
        <f t="shared" si="545"/>
        <v>0.23874271587497792</v>
      </c>
      <c r="Z167" s="158">
        <f t="shared" si="545"/>
        <v>0.23900602409638555</v>
      </c>
      <c r="AA167" s="158">
        <f t="shared" si="545"/>
        <v>0.2694238062320326</v>
      </c>
      <c r="AB167" s="158">
        <f t="shared" si="545"/>
        <v>0.28519402617220779</v>
      </c>
      <c r="AC167" s="158">
        <f t="shared" si="545"/>
        <v>0.30484448418825183</v>
      </c>
      <c r="AD167" s="158">
        <f t="shared" si="545"/>
        <v>0.32212907627156956</v>
      </c>
      <c r="AE167" s="158">
        <f t="shared" si="545"/>
        <v>0.33869221287491319</v>
      </c>
      <c r="AF167" s="158">
        <f t="shared" si="545"/>
        <v>0.35505854310165125</v>
      </c>
      <c r="AG167" s="158">
        <f t="shared" si="545"/>
        <v>0.372135510713693</v>
      </c>
    </row>
    <row r="168" spans="2:38" outlineLevel="1" x14ac:dyDescent="0.2">
      <c r="C168" s="169"/>
      <c r="D168" s="169"/>
      <c r="E168" s="169"/>
      <c r="F168" s="169"/>
      <c r="G168" s="169"/>
      <c r="H168" s="169"/>
      <c r="I168" s="169"/>
      <c r="J168" s="169"/>
      <c r="K168" s="169"/>
      <c r="L168" s="169"/>
      <c r="M168" s="169"/>
      <c r="N168" s="169"/>
      <c r="O168" s="169"/>
      <c r="P168" s="169"/>
      <c r="Q168" s="169"/>
    </row>
    <row r="169" spans="2:38" outlineLevel="1" x14ac:dyDescent="0.2">
      <c r="B169" s="156" t="s">
        <v>313</v>
      </c>
      <c r="C169" s="169">
        <f>C166-C171</f>
        <v>16</v>
      </c>
      <c r="D169" s="169">
        <f t="shared" ref="D169:Q169" si="546">D166-D171</f>
        <v>15</v>
      </c>
      <c r="E169" s="169">
        <f t="shared" si="546"/>
        <v>16</v>
      </c>
      <c r="F169" s="169">
        <f t="shared" si="546"/>
        <v>18</v>
      </c>
      <c r="G169" s="169">
        <f t="shared" si="546"/>
        <v>19</v>
      </c>
      <c r="H169" s="169">
        <f t="shared" si="546"/>
        <v>19</v>
      </c>
      <c r="I169" s="169">
        <f t="shared" si="546"/>
        <v>19</v>
      </c>
      <c r="J169" s="169">
        <f t="shared" si="546"/>
        <v>24</v>
      </c>
      <c r="K169" s="169">
        <f t="shared" si="546"/>
        <v>19</v>
      </c>
      <c r="L169" s="169">
        <f t="shared" si="546"/>
        <v>20</v>
      </c>
      <c r="M169" s="169">
        <f t="shared" si="546"/>
        <v>20</v>
      </c>
      <c r="N169" s="169">
        <f t="shared" si="546"/>
        <v>20</v>
      </c>
      <c r="O169" s="169">
        <f t="shared" si="546"/>
        <v>23</v>
      </c>
      <c r="P169" s="169">
        <f t="shared" si="546"/>
        <v>25</v>
      </c>
      <c r="Q169" s="169">
        <f t="shared" si="546"/>
        <v>24</v>
      </c>
      <c r="R169" s="169">
        <f>R170*R$122</f>
        <v>24.879240171272873</v>
      </c>
      <c r="S169" s="169">
        <f t="shared" ref="S169" si="547">S170*S$122</f>
        <v>25.221061372777992</v>
      </c>
      <c r="T169" s="169">
        <f t="shared" ref="T169" si="548">T170*T$122</f>
        <v>26.02056914493318</v>
      </c>
      <c r="U169" s="169">
        <f t="shared" ref="U169" si="549">U170*U$122</f>
        <v>26.218232775398992</v>
      </c>
      <c r="V169" s="169">
        <f t="shared" ref="V169" si="550">V170*V$122</f>
        <v>27.886523108862075</v>
      </c>
      <c r="X169" s="182">
        <f>SUM(C169:F169)</f>
        <v>65</v>
      </c>
      <c r="Y169" s="182">
        <f>SUM(G169:J169)</f>
        <v>81</v>
      </c>
      <c r="Z169" s="189">
        <f>SUM(K169:N169)</f>
        <v>79</v>
      </c>
      <c r="AA169" s="189">
        <f>SUM(O169:R169)</f>
        <v>96.879240171272869</v>
      </c>
      <c r="AB169" s="189">
        <f>SUM(S169:V169)</f>
        <v>105.34638640197224</v>
      </c>
      <c r="AC169" s="169">
        <f>AC170*AC$122</f>
        <v>123.67801340967915</v>
      </c>
      <c r="AD169" s="169">
        <f t="shared" ref="AD169" si="551">AD170*AD$122</f>
        <v>137.93270738734989</v>
      </c>
      <c r="AE169" s="169">
        <f t="shared" ref="AE169" si="552">AE170*AE$122</f>
        <v>158.61816617122946</v>
      </c>
      <c r="AF169" s="169">
        <f t="shared" ref="AF169" si="553">AF170*AF$122</f>
        <v>173.67137334255139</v>
      </c>
      <c r="AG169" s="169">
        <f t="shared" ref="AG169" si="554">AG170*AG$122</f>
        <v>191.19985006022617</v>
      </c>
    </row>
    <row r="170" spans="2:38" outlineLevel="1" x14ac:dyDescent="0.2">
      <c r="B170" s="168" t="s">
        <v>311</v>
      </c>
      <c r="C170" s="343">
        <f>C169/C$122</f>
        <v>1.3234077750206782E-2</v>
      </c>
      <c r="D170" s="343">
        <f t="shared" ref="D170:Q170" si="555">D169/D$122</f>
        <v>1.2552301255230125E-2</v>
      </c>
      <c r="E170" s="343">
        <f t="shared" si="555"/>
        <v>1.2470771628994544E-2</v>
      </c>
      <c r="F170" s="343">
        <f t="shared" si="555"/>
        <v>1.4007782101167316E-2</v>
      </c>
      <c r="G170" s="343">
        <f t="shared" si="555"/>
        <v>1.4350453172205438E-2</v>
      </c>
      <c r="H170" s="343">
        <f t="shared" si="555"/>
        <v>1.3639626704953339E-2</v>
      </c>
      <c r="I170" s="343">
        <f t="shared" si="555"/>
        <v>1.3258897418004187E-2</v>
      </c>
      <c r="J170" s="343">
        <f t="shared" si="555"/>
        <v>1.5862524785194978E-2</v>
      </c>
      <c r="K170" s="343">
        <f t="shared" si="555"/>
        <v>1.1852776044915784E-2</v>
      </c>
      <c r="L170" s="343">
        <f t="shared" si="555"/>
        <v>1.2135922330097087E-2</v>
      </c>
      <c r="M170" s="343">
        <f t="shared" si="555"/>
        <v>1.2062726176115802E-2</v>
      </c>
      <c r="N170" s="343">
        <f t="shared" si="555"/>
        <v>1.1554015020219527E-2</v>
      </c>
      <c r="O170" s="343">
        <f t="shared" si="555"/>
        <v>1.2609649122807017E-2</v>
      </c>
      <c r="P170" s="343">
        <f t="shared" si="555"/>
        <v>1.3297872340425532E-2</v>
      </c>
      <c r="Q170" s="343">
        <f t="shared" si="555"/>
        <v>1.3079019073569483E-2</v>
      </c>
      <c r="R170" s="250">
        <f>Q170</f>
        <v>1.3079019073569483E-2</v>
      </c>
      <c r="S170" s="250">
        <f t="shared" ref="S170:V170" si="556">R170</f>
        <v>1.3079019073569483E-2</v>
      </c>
      <c r="T170" s="250">
        <f t="shared" si="556"/>
        <v>1.3079019073569483E-2</v>
      </c>
      <c r="U170" s="250">
        <f t="shared" si="556"/>
        <v>1.3079019073569483E-2</v>
      </c>
      <c r="V170" s="250">
        <f t="shared" si="556"/>
        <v>1.3079019073569483E-2</v>
      </c>
      <c r="X170" s="343">
        <f t="shared" ref="X170" si="557">X169/X$122</f>
        <v>1.3073209975864843E-2</v>
      </c>
      <c r="Y170" s="343">
        <f t="shared" ref="Y170" si="558">Y169/Y$122</f>
        <v>1.4303372770616281E-2</v>
      </c>
      <c r="Z170" s="343">
        <f t="shared" ref="Z170" si="559">Z169/Z$122</f>
        <v>1.1897590361445783E-2</v>
      </c>
      <c r="AA170" s="343">
        <f t="shared" ref="AA170" si="560">AA169/AA$122</f>
        <v>1.3019259204156473E-2</v>
      </c>
      <c r="AB170" s="343">
        <f t="shared" ref="AB170" si="561">AB169/AB$122</f>
        <v>1.3079019073569483E-2</v>
      </c>
      <c r="AC170" s="250">
        <f>AB170</f>
        <v>1.3079019073569483E-2</v>
      </c>
      <c r="AD170" s="250">
        <f t="shared" ref="AD170" si="562">AC170</f>
        <v>1.3079019073569483E-2</v>
      </c>
      <c r="AE170" s="250">
        <f t="shared" ref="AE170" si="563">AD170</f>
        <v>1.3079019073569483E-2</v>
      </c>
      <c r="AF170" s="250">
        <f t="shared" ref="AF170" si="564">AE170</f>
        <v>1.3079019073569483E-2</v>
      </c>
      <c r="AG170" s="250">
        <f t="shared" ref="AG170" si="565">AF170</f>
        <v>1.3079019073569483E-2</v>
      </c>
    </row>
    <row r="171" spans="2:38" ht="15" outlineLevel="1" x14ac:dyDescent="0.25">
      <c r="B171" s="164" t="s">
        <v>312</v>
      </c>
      <c r="C171" s="170">
        <v>275</v>
      </c>
      <c r="D171" s="170">
        <v>272</v>
      </c>
      <c r="E171" s="170">
        <v>292</v>
      </c>
      <c r="F171" s="170">
        <v>296</v>
      </c>
      <c r="G171" s="170">
        <v>300</v>
      </c>
      <c r="H171" s="170">
        <v>317</v>
      </c>
      <c r="I171" s="170">
        <v>323</v>
      </c>
      <c r="J171" s="170">
        <v>331</v>
      </c>
      <c r="K171" s="170">
        <v>360</v>
      </c>
      <c r="L171" s="170">
        <v>368</v>
      </c>
      <c r="M171" s="170">
        <v>382</v>
      </c>
      <c r="N171" s="170">
        <v>398</v>
      </c>
      <c r="O171" s="170">
        <v>437</v>
      </c>
      <c r="P171" s="170">
        <v>483</v>
      </c>
      <c r="Q171" s="170">
        <v>487</v>
      </c>
      <c r="R171" s="170">
        <f>R166-R169</f>
        <v>500.96398650620898</v>
      </c>
      <c r="S171" s="170">
        <f t="shared" ref="S171:V171" si="566">S166-S169</f>
        <v>495.26264316495485</v>
      </c>
      <c r="T171" s="170">
        <f t="shared" si="566"/>
        <v>525.28836379010022</v>
      </c>
      <c r="U171" s="170">
        <f t="shared" si="566"/>
        <v>552.55002395403767</v>
      </c>
      <c r="V171" s="170">
        <f t="shared" si="566"/>
        <v>618.6789888569499</v>
      </c>
      <c r="X171" s="206">
        <f>X166-X169</f>
        <v>1135</v>
      </c>
      <c r="Y171" s="206">
        <f t="shared" ref="Y171:AG171" si="567">Y166-Y169</f>
        <v>1271</v>
      </c>
      <c r="Z171" s="206">
        <f t="shared" si="567"/>
        <v>1508</v>
      </c>
      <c r="AA171" s="206">
        <f t="shared" si="567"/>
        <v>1907.963986506209</v>
      </c>
      <c r="AB171" s="206">
        <f t="shared" si="567"/>
        <v>2191.7800197660426</v>
      </c>
      <c r="AC171" s="206">
        <f t="shared" si="567"/>
        <v>2758.9969021344018</v>
      </c>
      <c r="AD171" s="206">
        <f t="shared" si="567"/>
        <v>3259.2743284303174</v>
      </c>
      <c r="AE171" s="206">
        <f t="shared" si="567"/>
        <v>3948.9328206806135</v>
      </c>
      <c r="AF171" s="206">
        <f t="shared" si="567"/>
        <v>4541.0174309639515</v>
      </c>
      <c r="AG171" s="206">
        <f t="shared" si="567"/>
        <v>5248.9828922626011</v>
      </c>
      <c r="AI171" s="197">
        <f>RATE(6,,-AA171,AG171)</f>
        <v>0.18372502946497943</v>
      </c>
    </row>
    <row r="172" spans="2:38" outlineLevel="1" x14ac:dyDescent="0.2">
      <c r="B172" s="168" t="s">
        <v>28</v>
      </c>
      <c r="C172" s="158">
        <f t="shared" ref="C172" si="568">C171/C$122</f>
        <v>0.22746071133167908</v>
      </c>
      <c r="D172" s="158">
        <f t="shared" ref="D172" si="569">D171/D$122</f>
        <v>0.22761506276150628</v>
      </c>
      <c r="E172" s="158">
        <f t="shared" ref="E172" si="570">E171/E$122</f>
        <v>0.22759158222915044</v>
      </c>
      <c r="F172" s="158">
        <f t="shared" ref="F172" si="571">F171/F$122</f>
        <v>0.23035019455252917</v>
      </c>
      <c r="G172" s="158">
        <f t="shared" ref="G172" si="572">G171/G$122</f>
        <v>0.22658610271903323</v>
      </c>
      <c r="H172" s="158">
        <f t="shared" ref="H172" si="573">H171/H$122</f>
        <v>0.22756640344580042</v>
      </c>
      <c r="I172" s="158">
        <f t="shared" ref="I172" si="574">I171/I$122</f>
        <v>0.22540125610607117</v>
      </c>
      <c r="J172" s="158">
        <f t="shared" ref="J172" si="575">J171/J$122</f>
        <v>0.21877065432914738</v>
      </c>
      <c r="K172" s="158">
        <f t="shared" ref="K172" si="576">K171/K$122</f>
        <v>0.22457891453524642</v>
      </c>
      <c r="L172" s="158">
        <f t="shared" ref="L172" si="577">L171/L$122</f>
        <v>0.22330097087378642</v>
      </c>
      <c r="M172" s="158">
        <f t="shared" ref="M172" si="578">M171/M$122</f>
        <v>0.23039806996381182</v>
      </c>
      <c r="N172" s="158">
        <f t="shared" ref="N172" si="579">N171/N$122</f>
        <v>0.22992489890236859</v>
      </c>
      <c r="O172" s="158">
        <f t="shared" ref="O172" si="580">O171/O$122</f>
        <v>0.23958333333333334</v>
      </c>
      <c r="P172" s="158">
        <f t="shared" ref="P172" si="581">P171/P$122</f>
        <v>0.2569148936170213</v>
      </c>
      <c r="Q172" s="158">
        <f>Q171/Q$122</f>
        <v>0.26539509536784739</v>
      </c>
      <c r="R172" s="158">
        <f t="shared" ref="R172" si="582">R171/R$122</f>
        <v>0.2633568183586088</v>
      </c>
      <c r="S172" s="158">
        <f t="shared" ref="S172" si="583">S171/S$122</f>
        <v>0.25683096601843791</v>
      </c>
      <c r="T172" s="158">
        <f t="shared" ref="T172" si="584">T171/T$122</f>
        <v>0.26403175468099349</v>
      </c>
      <c r="U172" s="158">
        <f t="shared" ref="U172" si="585">U171/U$122</f>
        <v>0.27564071019985653</v>
      </c>
      <c r="V172" s="158">
        <f t="shared" ref="V172" si="586">V171/V$122</f>
        <v>0.29016576444789055</v>
      </c>
      <c r="X172" s="158">
        <f t="shared" ref="X172" si="587">X171/X$122</f>
        <v>0.22827835880933225</v>
      </c>
      <c r="Y172" s="158">
        <f t="shared" ref="Y172" si="588">Y171/Y$122</f>
        <v>0.22443934310436164</v>
      </c>
      <c r="Z172" s="158">
        <f t="shared" ref="Z172" si="589">Z171/Z$122</f>
        <v>0.22710843373493975</v>
      </c>
      <c r="AA172" s="158">
        <f t="shared" ref="AA172" si="590">AA171/AA$122</f>
        <v>0.25640454702787613</v>
      </c>
      <c r="AB172" s="158">
        <f t="shared" ref="AB172" si="591">AB171/AB$122</f>
        <v>0.27211500709863828</v>
      </c>
      <c r="AC172" s="158">
        <f t="shared" ref="AC172" si="592">AC171/AC$122</f>
        <v>0.29176546511468232</v>
      </c>
      <c r="AD172" s="158">
        <f t="shared" ref="AD172" si="593">AD171/AD$122</f>
        <v>0.30905005719800005</v>
      </c>
      <c r="AE172" s="158">
        <f t="shared" ref="AE172" si="594">AE171/AE$122</f>
        <v>0.32561319380134374</v>
      </c>
      <c r="AF172" s="158">
        <f t="shared" ref="AF172" si="595">AF171/AF$122</f>
        <v>0.34197952402808179</v>
      </c>
      <c r="AG172" s="158">
        <f t="shared" ref="AG172" si="596">AG171/AG$122</f>
        <v>0.35905649164012354</v>
      </c>
    </row>
    <row r="173" spans="2:38" outlineLevel="1" x14ac:dyDescent="0.2">
      <c r="C173" s="169"/>
      <c r="D173" s="169"/>
      <c r="E173" s="169"/>
      <c r="F173" s="169"/>
      <c r="G173" s="169"/>
      <c r="H173" s="169"/>
      <c r="I173" s="169"/>
      <c r="J173" s="169"/>
      <c r="K173" s="169"/>
      <c r="L173" s="169"/>
      <c r="M173" s="169"/>
      <c r="N173" s="169"/>
      <c r="O173" s="169"/>
      <c r="P173" s="169"/>
      <c r="Q173" s="169"/>
    </row>
    <row r="174" spans="2:38" outlineLevel="1" x14ac:dyDescent="0.2">
      <c r="B174" s="156" t="s">
        <v>220</v>
      </c>
      <c r="C174" s="175">
        <v>873</v>
      </c>
      <c r="D174" s="175">
        <v>857</v>
      </c>
      <c r="E174" s="175">
        <v>928</v>
      </c>
      <c r="F174" s="175">
        <v>938</v>
      </c>
      <c r="G174" s="175">
        <v>950</v>
      </c>
      <c r="H174" s="175">
        <v>987</v>
      </c>
      <c r="I174" s="175">
        <v>1056</v>
      </c>
      <c r="J174" s="175">
        <v>1110</v>
      </c>
      <c r="K174" s="175">
        <v>1164</v>
      </c>
      <c r="L174" s="175">
        <v>1196</v>
      </c>
      <c r="M174" s="175">
        <v>1183</v>
      </c>
      <c r="N174" s="175">
        <v>1230</v>
      </c>
      <c r="O174" s="175">
        <v>1290</v>
      </c>
      <c r="P174" s="175">
        <v>1287</v>
      </c>
      <c r="Q174" s="175">
        <v>1253</v>
      </c>
      <c r="R174" s="175">
        <f>(R122-R171)-R176-R178</f>
        <v>1303.8175609182106</v>
      </c>
      <c r="S174" s="175">
        <f t="shared" ref="S174:V174" si="597">(S122-S171)-S176-S178</f>
        <v>1334.3151839186487</v>
      </c>
      <c r="T174" s="175">
        <f t="shared" si="597"/>
        <v>1362.2870895985941</v>
      </c>
      <c r="U174" s="175">
        <f t="shared" si="597"/>
        <v>1349.3642786280307</v>
      </c>
      <c r="V174" s="175">
        <f t="shared" si="597"/>
        <v>1404.2558749984198</v>
      </c>
      <c r="X174" s="182">
        <f>SUM(C174:F174)</f>
        <v>3596</v>
      </c>
      <c r="Y174" s="182">
        <f>SUM(G174:J174)</f>
        <v>4103</v>
      </c>
      <c r="Z174" s="189">
        <f>SUM(K174:N174)</f>
        <v>4773</v>
      </c>
      <c r="AA174" s="189">
        <f>SUM(O174:R174)</f>
        <v>5133.8175609182108</v>
      </c>
      <c r="AB174" s="189">
        <f>SUM(S174:V174)</f>
        <v>5450.2224271436935</v>
      </c>
      <c r="AC174" s="175">
        <f>(AC122-AC171)-AC176-AC178</f>
        <v>6212.8123206260725</v>
      </c>
      <c r="AD174" s="175">
        <f>(AD122-AD171)-AD176-AD178</f>
        <v>6746.5941532936877</v>
      </c>
      <c r="AE174" s="175">
        <f>(AE122-AE171)-AE176-AE178</f>
        <v>7557.4933169906571</v>
      </c>
      <c r="AF174" s="175">
        <f>(AF122-AF171)-AF176-AF178</f>
        <v>8057.3934435936299</v>
      </c>
      <c r="AG174" s="175">
        <f>(AG122-AG171)-AG176-AG178</f>
        <v>8620.97289752297</v>
      </c>
      <c r="AI174" s="197">
        <f>RATE(6,,-AA174,AG174)</f>
        <v>9.0232961461344463E-2</v>
      </c>
    </row>
    <row r="175" spans="2:38" outlineLevel="1" x14ac:dyDescent="0.2">
      <c r="B175" s="168" t="s">
        <v>311</v>
      </c>
      <c r="C175" s="184">
        <f>C174/C$122</f>
        <v>0.72208436724565761</v>
      </c>
      <c r="D175" s="184">
        <f t="shared" ref="D175:Q175" si="598">D174/D$122</f>
        <v>0.71715481171548112</v>
      </c>
      <c r="E175" s="184">
        <f t="shared" si="598"/>
        <v>0.72330475448168352</v>
      </c>
      <c r="F175" s="184">
        <f t="shared" si="598"/>
        <v>0.72996108949416338</v>
      </c>
      <c r="G175" s="184">
        <f t="shared" si="598"/>
        <v>0.71752265861027187</v>
      </c>
      <c r="H175" s="184">
        <f t="shared" si="598"/>
        <v>0.70854271356783916</v>
      </c>
      <c r="I175" s="184">
        <f t="shared" si="598"/>
        <v>0.73691556175854855</v>
      </c>
      <c r="J175" s="184">
        <f t="shared" si="598"/>
        <v>0.73364177131526764</v>
      </c>
      <c r="K175" s="184">
        <f t="shared" si="598"/>
        <v>0.72613849033063005</v>
      </c>
      <c r="L175" s="184">
        <f t="shared" si="598"/>
        <v>0.72572815533980584</v>
      </c>
      <c r="M175" s="184">
        <f t="shared" si="598"/>
        <v>0.71351025331724971</v>
      </c>
      <c r="N175" s="184">
        <f t="shared" si="598"/>
        <v>0.71057192374350087</v>
      </c>
      <c r="O175" s="184">
        <f t="shared" si="598"/>
        <v>0.70723684210526316</v>
      </c>
      <c r="P175" s="184">
        <f t="shared" si="598"/>
        <v>0.68457446808510636</v>
      </c>
      <c r="Q175" s="184">
        <f t="shared" si="598"/>
        <v>0.68283378746594003</v>
      </c>
      <c r="R175" s="184">
        <f t="shared" ref="R175" si="599">R174/R$122</f>
        <v>0.68541702360324419</v>
      </c>
      <c r="S175" s="184">
        <f t="shared" ref="S175" si="600">S174/S$122</f>
        <v>0.69194287594341508</v>
      </c>
      <c r="T175" s="184">
        <f t="shared" ref="T175" si="601">T174/T$122</f>
        <v>0.68474208728085939</v>
      </c>
      <c r="U175" s="184">
        <f t="shared" ref="U175" si="602">U174/U$122</f>
        <v>0.6731331317619963</v>
      </c>
      <c r="V175" s="184">
        <f t="shared" ref="V175" si="603">V174/V$122</f>
        <v>0.65860807751396233</v>
      </c>
      <c r="X175" s="184">
        <f t="shared" ref="X175" si="604">X174/X$122</f>
        <v>0.72325020112630733</v>
      </c>
      <c r="Y175" s="184">
        <f t="shared" ref="Y175" si="605">Y174/Y$122</f>
        <v>0.72452763552887167</v>
      </c>
      <c r="Z175" s="184">
        <f t="shared" ref="Z175" si="606">Z174/Z$122</f>
        <v>0.71882530120481924</v>
      </c>
      <c r="AA175" s="184">
        <f t="shared" ref="AA175" si="607">AA174/AA$122</f>
        <v>0.68991562500160741</v>
      </c>
      <c r="AB175" s="184">
        <f t="shared" ref="AB175:AG175" si="608">AB174/AB$122</f>
        <v>0.67665883486321454</v>
      </c>
      <c r="AC175" s="184">
        <f t="shared" si="608"/>
        <v>0.65700837684717051</v>
      </c>
      <c r="AD175" s="184">
        <f t="shared" si="608"/>
        <v>0.63972378476385272</v>
      </c>
      <c r="AE175" s="184">
        <f t="shared" si="608"/>
        <v>0.6231606481605092</v>
      </c>
      <c r="AF175" s="184">
        <f t="shared" si="608"/>
        <v>0.60679431793377103</v>
      </c>
      <c r="AG175" s="184">
        <f t="shared" si="608"/>
        <v>0.58971735032172923</v>
      </c>
      <c r="AK175" s="236"/>
    </row>
    <row r="176" spans="2:38" outlineLevel="1" x14ac:dyDescent="0.2">
      <c r="B176" s="156" t="s">
        <v>221</v>
      </c>
      <c r="C176" s="175">
        <v>65</v>
      </c>
      <c r="D176" s="175">
        <v>55</v>
      </c>
      <c r="E176" s="175">
        <v>70</v>
      </c>
      <c r="F176" s="175">
        <v>61</v>
      </c>
      <c r="G176" s="175">
        <v>69</v>
      </c>
      <c r="H176" s="175">
        <v>83</v>
      </c>
      <c r="I176" s="175">
        <v>73</v>
      </c>
      <c r="J176" s="175">
        <v>63</v>
      </c>
      <c r="K176" s="175">
        <v>75</v>
      </c>
      <c r="L176" s="175">
        <v>88</v>
      </c>
      <c r="M176" s="175">
        <v>87</v>
      </c>
      <c r="N176" s="175">
        <v>83</v>
      </c>
      <c r="O176" s="175">
        <v>88</v>
      </c>
      <c r="P176" s="175">
        <v>97</v>
      </c>
      <c r="Q176" s="175">
        <v>85</v>
      </c>
      <c r="R176" s="169">
        <f>R177*R$122</f>
        <v>88.11397560659141</v>
      </c>
      <c r="S176" s="169">
        <f t="shared" ref="S176:V176" si="609">S177*S$122</f>
        <v>89.324592361922043</v>
      </c>
      <c r="T176" s="169">
        <f t="shared" si="609"/>
        <v>92.156182388304998</v>
      </c>
      <c r="U176" s="169">
        <f t="shared" si="609"/>
        <v>92.85624107953808</v>
      </c>
      <c r="V176" s="169">
        <f t="shared" si="609"/>
        <v>98.764769343886513</v>
      </c>
      <c r="X176" s="156">
        <v>260</v>
      </c>
      <c r="Y176" s="156">
        <v>304</v>
      </c>
      <c r="Z176" s="189">
        <f>SUM(K176:N176)</f>
        <v>333</v>
      </c>
      <c r="AA176" s="189">
        <f>SUM(O176:R176)</f>
        <v>358.1139756065914</v>
      </c>
      <c r="AB176" s="189">
        <f>SUM(S176:V176)</f>
        <v>373.10178517365171</v>
      </c>
      <c r="AC176" s="169">
        <f>AC177*AC$122</f>
        <v>438.02629749261371</v>
      </c>
      <c r="AD176" s="169">
        <f t="shared" ref="AD176" si="610">AD177*AD$122</f>
        <v>488.51167199686421</v>
      </c>
      <c r="AE176" s="169">
        <f t="shared" ref="AE176" si="611">AE177*AE$122</f>
        <v>561.77267185643768</v>
      </c>
      <c r="AF176" s="169">
        <f t="shared" ref="AF176" si="612">AF177*AF$122</f>
        <v>615.08611392153614</v>
      </c>
      <c r="AG176" s="169">
        <f t="shared" ref="AG176" si="613">AG177*AG$122</f>
        <v>677.1661356299677</v>
      </c>
      <c r="AI176" s="197">
        <f>RATE(6,,-AA176,AG176)</f>
        <v>0.11201930527295424</v>
      </c>
    </row>
    <row r="177" spans="2:35" outlineLevel="1" x14ac:dyDescent="0.2">
      <c r="B177" s="168" t="s">
        <v>311</v>
      </c>
      <c r="C177" s="184">
        <f>C176/C$122</f>
        <v>5.3763440860215055E-2</v>
      </c>
      <c r="D177" s="184">
        <f t="shared" ref="D177" si="614">D176/D$122</f>
        <v>4.6025104602510462E-2</v>
      </c>
      <c r="E177" s="184">
        <f t="shared" ref="E177" si="615">E176/E$122</f>
        <v>5.4559625876851127E-2</v>
      </c>
      <c r="F177" s="184">
        <f t="shared" ref="F177" si="616">F176/F$122</f>
        <v>4.7470817120622566E-2</v>
      </c>
      <c r="G177" s="184">
        <f t="shared" ref="G177" si="617">G176/G$122</f>
        <v>5.2114803625377647E-2</v>
      </c>
      <c r="H177" s="184">
        <f t="shared" ref="H177" si="618">H176/H$122</f>
        <v>5.9583632447954053E-2</v>
      </c>
      <c r="I177" s="184">
        <f t="shared" ref="I177" si="619">I176/I$122</f>
        <v>5.0942079553384506E-2</v>
      </c>
      <c r="J177" s="184">
        <f t="shared" ref="J177" si="620">J176/J$122</f>
        <v>4.1639127561136816E-2</v>
      </c>
      <c r="K177" s="184">
        <f t="shared" ref="K177" si="621">K176/K$122</f>
        <v>4.6787273861509666E-2</v>
      </c>
      <c r="L177" s="184">
        <f t="shared" ref="L177" si="622">L176/L$122</f>
        <v>5.3398058252427182E-2</v>
      </c>
      <c r="M177" s="184">
        <f t="shared" ref="M177" si="623">M176/M$122</f>
        <v>5.2472858866103742E-2</v>
      </c>
      <c r="N177" s="184">
        <f t="shared" ref="N177" si="624">N176/N$122</f>
        <v>4.7949162333911034E-2</v>
      </c>
      <c r="O177" s="184">
        <f t="shared" ref="O177" si="625">O176/O$122</f>
        <v>4.8245614035087717E-2</v>
      </c>
      <c r="P177" s="184">
        <f t="shared" ref="P177" si="626">P176/P$122</f>
        <v>5.1595744680851062E-2</v>
      </c>
      <c r="Q177" s="184">
        <f t="shared" ref="Q177" si="627">Q176/Q$122</f>
        <v>4.632152588555858E-2</v>
      </c>
      <c r="R177" s="181">
        <f>Q177</f>
        <v>4.632152588555858E-2</v>
      </c>
      <c r="S177" s="181">
        <f t="shared" ref="S177:V177" si="628">R177</f>
        <v>4.632152588555858E-2</v>
      </c>
      <c r="T177" s="181">
        <f t="shared" si="628"/>
        <v>4.632152588555858E-2</v>
      </c>
      <c r="U177" s="181">
        <f t="shared" si="628"/>
        <v>4.632152588555858E-2</v>
      </c>
      <c r="V177" s="181">
        <f t="shared" si="628"/>
        <v>4.632152588555858E-2</v>
      </c>
      <c r="X177" s="343">
        <f t="shared" ref="X177" si="629">X176/X$122</f>
        <v>5.229283990345937E-2</v>
      </c>
      <c r="Y177" s="343">
        <f t="shared" ref="Y177" si="630">Y176/Y$122</f>
        <v>5.3681794102066041E-2</v>
      </c>
      <c r="Z177" s="343">
        <f t="shared" ref="Z177" si="631">Z176/Z$122</f>
        <v>5.0150602409638555E-2</v>
      </c>
      <c r="AA177" s="343">
        <f t="shared" ref="AA177" si="632">AA176/AA$122</f>
        <v>4.812567341373198E-2</v>
      </c>
      <c r="AB177" s="343">
        <f t="shared" ref="AB177" si="633">AB176/AB$122</f>
        <v>4.6321525885558587E-2</v>
      </c>
      <c r="AC177" s="250">
        <f>AB177</f>
        <v>4.6321525885558587E-2</v>
      </c>
      <c r="AD177" s="250">
        <f t="shared" ref="AD177:AG177" si="634">AC177</f>
        <v>4.6321525885558587E-2</v>
      </c>
      <c r="AE177" s="250">
        <f t="shared" si="634"/>
        <v>4.6321525885558587E-2</v>
      </c>
      <c r="AF177" s="250">
        <f t="shared" si="634"/>
        <v>4.6321525885558587E-2</v>
      </c>
      <c r="AG177" s="250">
        <f t="shared" si="634"/>
        <v>4.6321525885558587E-2</v>
      </c>
    </row>
    <row r="178" spans="2:35" outlineLevel="1" x14ac:dyDescent="0.2">
      <c r="B178" s="156" t="s">
        <v>222</v>
      </c>
      <c r="C178" s="175">
        <v>5</v>
      </c>
      <c r="D178" s="175">
        <v>4</v>
      </c>
      <c r="E178" s="175">
        <v>4</v>
      </c>
      <c r="F178" s="175">
        <v>4</v>
      </c>
      <c r="G178" s="175">
        <v>7</v>
      </c>
      <c r="H178" s="175">
        <v>9</v>
      </c>
      <c r="I178" s="175">
        <v>7</v>
      </c>
      <c r="J178" s="175">
        <v>9</v>
      </c>
      <c r="K178" s="175">
        <v>9</v>
      </c>
      <c r="L178" s="175">
        <v>9</v>
      </c>
      <c r="M178" s="175">
        <v>9</v>
      </c>
      <c r="N178" s="175">
        <v>9</v>
      </c>
      <c r="O178" s="175">
        <v>10</v>
      </c>
      <c r="P178" s="175">
        <v>7</v>
      </c>
      <c r="Q178" s="175">
        <v>9</v>
      </c>
      <c r="R178" s="169">
        <f>R179*R$122</f>
        <v>9.3297150642273277</v>
      </c>
      <c r="S178" s="169">
        <f t="shared" ref="S178" si="635">S179*S$122</f>
        <v>9.4578980147917466</v>
      </c>
      <c r="T178" s="169">
        <f t="shared" ref="T178" si="636">T179*T$122</f>
        <v>9.757713429349943</v>
      </c>
      <c r="U178" s="169">
        <f t="shared" ref="U178" si="637">U179*U$122</f>
        <v>9.8318372907746223</v>
      </c>
      <c r="V178" s="169">
        <f t="shared" ref="V178" si="638">V179*V$122</f>
        <v>10.45744616582328</v>
      </c>
      <c r="X178" s="156">
        <v>17</v>
      </c>
      <c r="Y178" s="156">
        <v>32</v>
      </c>
      <c r="Z178" s="189">
        <f>SUM(K178:N178)</f>
        <v>36</v>
      </c>
      <c r="AA178" s="189">
        <f>SUM(O178:R178)</f>
        <v>35.329715064227329</v>
      </c>
      <c r="AB178" s="189">
        <f>SUM(S178:V178)</f>
        <v>39.504894900739593</v>
      </c>
      <c r="AC178" s="169">
        <f t="shared" ref="AC178" si="639">AC179*AC$122</f>
        <v>46.379255028629686</v>
      </c>
      <c r="AD178" s="169">
        <f t="shared" ref="AD178" si="640">AD179*AD$122</f>
        <v>51.724765270256214</v>
      </c>
      <c r="AE178" s="169">
        <f t="shared" ref="AE178" si="641">AE179*AE$122</f>
        <v>59.481812314211048</v>
      </c>
      <c r="AF178" s="169">
        <f t="shared" ref="AF178" si="642">AF179*AF$122</f>
        <v>65.126765003456768</v>
      </c>
      <c r="AG178" s="169">
        <f t="shared" ref="AG178" si="643">AG179*AG$122</f>
        <v>71.699943772584817</v>
      </c>
      <c r="AI178" s="197">
        <f>RATE(6,,-AA178,AG178)</f>
        <v>0.12520014650898909</v>
      </c>
    </row>
    <row r="179" spans="2:35" outlineLevel="1" x14ac:dyDescent="0.2">
      <c r="B179" s="168" t="s">
        <v>311</v>
      </c>
      <c r="C179" s="343">
        <f>C178/C$122</f>
        <v>4.1356492969396195E-3</v>
      </c>
      <c r="D179" s="343">
        <f t="shared" ref="D179" si="644">D178/D$122</f>
        <v>3.3472803347280333E-3</v>
      </c>
      <c r="E179" s="343">
        <f t="shared" ref="E179" si="645">E178/E$122</f>
        <v>3.1176929072486361E-3</v>
      </c>
      <c r="F179" s="343">
        <f t="shared" ref="F179" si="646">F178/F$122</f>
        <v>3.1128404669260703E-3</v>
      </c>
      <c r="G179" s="343">
        <f t="shared" ref="G179" si="647">G178/G$122</f>
        <v>5.287009063444109E-3</v>
      </c>
      <c r="H179" s="343">
        <f t="shared" ref="H179" si="648">H178/H$122</f>
        <v>6.4608758076094763E-3</v>
      </c>
      <c r="I179" s="343">
        <f t="shared" ref="I179" si="649">I178/I$122</f>
        <v>4.8848569434752267E-3</v>
      </c>
      <c r="J179" s="343">
        <f t="shared" ref="J179" si="650">J178/J$122</f>
        <v>5.9484467944481163E-3</v>
      </c>
      <c r="K179" s="343">
        <f t="shared" ref="K179" si="651">K178/K$122</f>
        <v>5.6144728633811605E-3</v>
      </c>
      <c r="L179" s="343">
        <f t="shared" ref="L179" si="652">L178/L$122</f>
        <v>5.4611650485436895E-3</v>
      </c>
      <c r="M179" s="343">
        <f t="shared" ref="M179" si="653">M178/M$122</f>
        <v>5.4282267792521112E-3</v>
      </c>
      <c r="N179" s="343">
        <f t="shared" ref="N179" si="654">N178/N$122</f>
        <v>5.1993067590987872E-3</v>
      </c>
      <c r="O179" s="343">
        <f t="shared" ref="O179" si="655">O178/O$122</f>
        <v>5.4824561403508769E-3</v>
      </c>
      <c r="P179" s="343">
        <f t="shared" ref="P179" si="656">P178/P$122</f>
        <v>3.7234042553191491E-3</v>
      </c>
      <c r="Q179" s="343">
        <f t="shared" ref="Q179" si="657">Q178/Q$122</f>
        <v>4.9046321525885563E-3</v>
      </c>
      <c r="R179" s="250">
        <f>Q179</f>
        <v>4.9046321525885563E-3</v>
      </c>
      <c r="S179" s="250">
        <f t="shared" ref="S179:V179" si="658">R179</f>
        <v>4.9046321525885563E-3</v>
      </c>
      <c r="T179" s="250">
        <f t="shared" si="658"/>
        <v>4.9046321525885563E-3</v>
      </c>
      <c r="U179" s="250">
        <f t="shared" si="658"/>
        <v>4.9046321525885563E-3</v>
      </c>
      <c r="V179" s="250">
        <f t="shared" si="658"/>
        <v>4.9046321525885563E-3</v>
      </c>
      <c r="X179" s="343">
        <f t="shared" ref="X179" si="659">X178/X$122</f>
        <v>3.4191472244569591E-3</v>
      </c>
      <c r="Y179" s="343">
        <f t="shared" ref="Y179" si="660">Y178/Y$122</f>
        <v>5.6507151686385308E-3</v>
      </c>
      <c r="Z179" s="343">
        <f t="shared" ref="Z179" si="661">Z178/Z$122</f>
        <v>5.4216867469879517E-3</v>
      </c>
      <c r="AA179" s="343">
        <f t="shared" ref="AA179" si="662">AA178/AA$122</f>
        <v>4.7478357305134914E-3</v>
      </c>
      <c r="AB179" s="343">
        <f t="shared" ref="AB179" si="663">AB178/AB$122</f>
        <v>4.9046321525885563E-3</v>
      </c>
      <c r="AC179" s="250">
        <f>AB179</f>
        <v>4.9046321525885563E-3</v>
      </c>
      <c r="AD179" s="250">
        <f t="shared" ref="AD179:AG179" si="664">AC179</f>
        <v>4.9046321525885563E-3</v>
      </c>
      <c r="AE179" s="250">
        <f t="shared" si="664"/>
        <v>4.9046321525885563E-3</v>
      </c>
      <c r="AF179" s="250">
        <f t="shared" si="664"/>
        <v>4.9046321525885563E-3</v>
      </c>
      <c r="AG179" s="250">
        <f t="shared" si="664"/>
        <v>4.9046321525885563E-3</v>
      </c>
    </row>
    <row r="180" spans="2:35" outlineLevel="1" x14ac:dyDescent="0.2">
      <c r="B180" s="168"/>
      <c r="C180" s="169"/>
      <c r="D180" s="169"/>
      <c r="E180" s="169"/>
      <c r="F180" s="169"/>
      <c r="G180" s="169"/>
      <c r="H180" s="169"/>
      <c r="I180" s="169"/>
      <c r="J180" s="169"/>
      <c r="K180" s="169"/>
      <c r="L180" s="169"/>
      <c r="M180" s="169"/>
      <c r="N180" s="169"/>
      <c r="O180" s="169"/>
      <c r="P180" s="169"/>
      <c r="Q180" s="169"/>
      <c r="Y180" s="158"/>
      <c r="Z180" s="158"/>
      <c r="AA180" s="158"/>
      <c r="AB180" s="158"/>
      <c r="AC180" s="158"/>
      <c r="AD180" s="158"/>
      <c r="AE180" s="158"/>
      <c r="AF180" s="158"/>
      <c r="AG180" s="158"/>
    </row>
    <row r="181" spans="2:35" outlineLevel="1" x14ac:dyDescent="0.2">
      <c r="B181" s="156" t="s">
        <v>223</v>
      </c>
      <c r="C181" s="169">
        <f>C122-C174</f>
        <v>336</v>
      </c>
      <c r="D181" s="169">
        <f t="shared" ref="D181:I181" si="665">D122-D174</f>
        <v>338</v>
      </c>
      <c r="E181" s="169">
        <f t="shared" si="665"/>
        <v>355</v>
      </c>
      <c r="F181" s="169">
        <f t="shared" si="665"/>
        <v>347</v>
      </c>
      <c r="G181" s="169">
        <f t="shared" si="665"/>
        <v>374</v>
      </c>
      <c r="H181" s="169">
        <f t="shared" si="665"/>
        <v>406</v>
      </c>
      <c r="I181" s="169">
        <f t="shared" si="665"/>
        <v>377</v>
      </c>
      <c r="J181" s="169">
        <f t="shared" ref="J181:V181" si="666">J122-J174</f>
        <v>403</v>
      </c>
      <c r="K181" s="169">
        <f t="shared" si="666"/>
        <v>439</v>
      </c>
      <c r="L181" s="169">
        <f t="shared" si="666"/>
        <v>452</v>
      </c>
      <c r="M181" s="169">
        <f t="shared" si="666"/>
        <v>475</v>
      </c>
      <c r="N181" s="169">
        <f t="shared" si="666"/>
        <v>501</v>
      </c>
      <c r="O181" s="169">
        <f t="shared" si="666"/>
        <v>534</v>
      </c>
      <c r="P181" s="169">
        <f t="shared" si="666"/>
        <v>593</v>
      </c>
      <c r="Q181" s="169">
        <f t="shared" si="666"/>
        <v>582</v>
      </c>
      <c r="R181" s="169">
        <f t="shared" si="666"/>
        <v>598.40767717702761</v>
      </c>
      <c r="S181" s="169">
        <f t="shared" si="666"/>
        <v>594.04513354166852</v>
      </c>
      <c r="T181" s="169">
        <f t="shared" si="666"/>
        <v>627.2022596077552</v>
      </c>
      <c r="U181" s="169">
        <f t="shared" si="666"/>
        <v>655.23810232435039</v>
      </c>
      <c r="V181" s="169">
        <f t="shared" si="666"/>
        <v>727.90120436665961</v>
      </c>
      <c r="X181" s="169">
        <f t="shared" ref="X181:AG181" si="667">X122-X174</f>
        <v>1376</v>
      </c>
      <c r="Y181" s="169">
        <f t="shared" si="667"/>
        <v>1560</v>
      </c>
      <c r="Z181" s="169">
        <f t="shared" si="667"/>
        <v>1867</v>
      </c>
      <c r="AA181" s="169">
        <f t="shared" si="667"/>
        <v>2307.4076771770269</v>
      </c>
      <c r="AB181" s="169">
        <f t="shared" si="667"/>
        <v>2604.3866998404337</v>
      </c>
      <c r="AC181" s="169">
        <f t="shared" si="667"/>
        <v>3243.4024546556457</v>
      </c>
      <c r="AD181" s="169">
        <f t="shared" si="667"/>
        <v>3799.5107656974387</v>
      </c>
      <c r="AE181" s="169">
        <f t="shared" si="667"/>
        <v>4570.1873048512616</v>
      </c>
      <c r="AF181" s="169">
        <f t="shared" si="667"/>
        <v>5221.2303098889442</v>
      </c>
      <c r="AG181" s="169">
        <f t="shared" si="667"/>
        <v>5997.8489716651547</v>
      </c>
      <c r="AI181" s="197">
        <f>RATE(6,,-AA181,AG181)</f>
        <v>0.17258733408016785</v>
      </c>
    </row>
    <row r="182" spans="2:35" outlineLevel="1" x14ac:dyDescent="0.2">
      <c r="B182" s="168" t="s">
        <v>28</v>
      </c>
      <c r="C182" s="180">
        <f>C181/C$122</f>
        <v>0.27791563275434245</v>
      </c>
      <c r="D182" s="180">
        <f t="shared" ref="D182:V182" si="668">D181/D$122</f>
        <v>0.28284518828451882</v>
      </c>
      <c r="E182" s="180">
        <f t="shared" si="668"/>
        <v>0.27669524551831642</v>
      </c>
      <c r="F182" s="180">
        <f t="shared" si="668"/>
        <v>0.27003891050583656</v>
      </c>
      <c r="G182" s="180">
        <f t="shared" si="668"/>
        <v>0.28247734138972808</v>
      </c>
      <c r="H182" s="180">
        <f t="shared" si="668"/>
        <v>0.29145728643216079</v>
      </c>
      <c r="I182" s="180">
        <f t="shared" si="668"/>
        <v>0.2630844382414515</v>
      </c>
      <c r="J182" s="180">
        <f t="shared" si="668"/>
        <v>0.2663582286847323</v>
      </c>
      <c r="K182" s="180">
        <f t="shared" si="668"/>
        <v>0.27386150966936995</v>
      </c>
      <c r="L182" s="180">
        <f t="shared" si="668"/>
        <v>0.27427184466019416</v>
      </c>
      <c r="M182" s="180">
        <f t="shared" si="668"/>
        <v>0.28648974668275029</v>
      </c>
      <c r="N182" s="180">
        <f t="shared" si="668"/>
        <v>0.28942807625649913</v>
      </c>
      <c r="O182" s="180">
        <f t="shared" si="668"/>
        <v>0.29276315789473684</v>
      </c>
      <c r="P182" s="180">
        <f t="shared" si="668"/>
        <v>0.31542553191489364</v>
      </c>
      <c r="Q182" s="180">
        <f t="shared" si="668"/>
        <v>0.31716621253405997</v>
      </c>
      <c r="R182" s="180">
        <f t="shared" si="668"/>
        <v>0.31458297639675586</v>
      </c>
      <c r="S182" s="180">
        <f t="shared" si="668"/>
        <v>0.30805712405658497</v>
      </c>
      <c r="T182" s="180">
        <f t="shared" si="668"/>
        <v>0.31525791271914066</v>
      </c>
      <c r="U182" s="180">
        <f t="shared" si="668"/>
        <v>0.3268668682380037</v>
      </c>
      <c r="V182" s="180">
        <f t="shared" si="668"/>
        <v>0.34139192248603767</v>
      </c>
      <c r="W182" s="215"/>
      <c r="X182" s="342">
        <f t="shared" ref="X182" si="669">X181/X$122</f>
        <v>0.27674979887369267</v>
      </c>
      <c r="Y182" s="342">
        <f t="shared" ref="Y182" si="670">Y181/Y$122</f>
        <v>0.27547236447112838</v>
      </c>
      <c r="Z182" s="342">
        <f t="shared" ref="Z182" si="671">Z181/Z$122</f>
        <v>0.2811746987951807</v>
      </c>
      <c r="AA182" s="342">
        <f t="shared" ref="AA182" si="672">AA181/AA$122</f>
        <v>0.31008437499839259</v>
      </c>
      <c r="AB182" s="342">
        <f t="shared" ref="AB182" si="673">AB181/AB$122</f>
        <v>0.3233411651367854</v>
      </c>
      <c r="AC182" s="342">
        <f t="shared" ref="AC182" si="674">AC181/AC$122</f>
        <v>0.34299162315282955</v>
      </c>
      <c r="AD182" s="342">
        <f t="shared" ref="AD182" si="675">AD181/AD$122</f>
        <v>0.36027621523614728</v>
      </c>
      <c r="AE182" s="342">
        <f t="shared" ref="AE182" si="676">AE181/AE$122</f>
        <v>0.3768393518394908</v>
      </c>
      <c r="AF182" s="342">
        <f t="shared" ref="AF182" si="677">AF181/AF$122</f>
        <v>0.39320568206622891</v>
      </c>
      <c r="AG182" s="342">
        <f t="shared" ref="AG182" si="678">AG181/AG$122</f>
        <v>0.41028264967827077</v>
      </c>
    </row>
    <row r="183" spans="2:35" outlineLevel="1" x14ac:dyDescent="0.2">
      <c r="C183" s="169"/>
      <c r="D183" s="169"/>
      <c r="E183" s="169"/>
      <c r="F183" s="169"/>
      <c r="G183" s="169"/>
      <c r="H183" s="169"/>
      <c r="I183" s="169"/>
      <c r="J183" s="169"/>
      <c r="K183" s="169"/>
      <c r="L183" s="169"/>
      <c r="M183" s="169"/>
      <c r="N183" s="169"/>
      <c r="O183" s="169"/>
      <c r="P183" s="169"/>
      <c r="Q183" s="169"/>
    </row>
    <row r="184" spans="2:35" outlineLevel="1" x14ac:dyDescent="0.2">
      <c r="B184" s="159" t="s">
        <v>110</v>
      </c>
      <c r="C184" s="234">
        <v>68</v>
      </c>
      <c r="D184" s="234">
        <v>67</v>
      </c>
      <c r="E184" s="234">
        <v>68</v>
      </c>
      <c r="F184" s="234">
        <v>67</v>
      </c>
      <c r="G184" s="234">
        <v>66</v>
      </c>
      <c r="H184" s="234">
        <v>67</v>
      </c>
      <c r="I184" s="234">
        <v>65</v>
      </c>
      <c r="J184" s="234">
        <v>67</v>
      </c>
      <c r="K184" s="234">
        <v>69</v>
      </c>
      <c r="L184" s="234">
        <v>67</v>
      </c>
      <c r="M184" s="234">
        <v>68</v>
      </c>
      <c r="N184" s="234">
        <v>68</v>
      </c>
      <c r="O184" s="234">
        <v>67</v>
      </c>
      <c r="P184" s="234">
        <v>69</v>
      </c>
      <c r="Q184" s="234">
        <v>68</v>
      </c>
      <c r="R184" s="243">
        <f>R122*R326</f>
        <v>66.577883333333347</v>
      </c>
      <c r="S184" s="243">
        <f t="shared" ref="S184:V184" si="679">S122*S326</f>
        <v>67.492611111111103</v>
      </c>
      <c r="T184" s="243">
        <f t="shared" si="679"/>
        <v>69.632127222222238</v>
      </c>
      <c r="U184" s="243">
        <f t="shared" si="679"/>
        <v>70.161083333333337</v>
      </c>
      <c r="V184" s="243">
        <f t="shared" si="679"/>
        <v>74.625497777777781</v>
      </c>
      <c r="X184" s="182">
        <f>SUM(C184:F184)</f>
        <v>270</v>
      </c>
      <c r="Y184" s="182">
        <f>SUM(G184:J184)</f>
        <v>265</v>
      </c>
      <c r="Z184" s="189">
        <f>SUM(K184:N184)</f>
        <v>272</v>
      </c>
      <c r="AA184" s="189">
        <f>SUM(O184:R184)</f>
        <v>270.57788333333338</v>
      </c>
      <c r="AB184" s="189">
        <f>SUM(S184:V184)</f>
        <v>281.91131944444442</v>
      </c>
      <c r="AC184" s="183">
        <f t="shared" ref="AC184:AG184" si="680">AC122*AC326</f>
        <v>472.81073876408595</v>
      </c>
      <c r="AD184" s="183">
        <f t="shared" si="680"/>
        <v>421.84419675964506</v>
      </c>
      <c r="AE184" s="183">
        <f t="shared" si="680"/>
        <v>424.46882176446718</v>
      </c>
      <c r="AF184" s="183">
        <f t="shared" si="680"/>
        <v>398.3587126044772</v>
      </c>
      <c r="AG184" s="183">
        <f t="shared" si="680"/>
        <v>365.47054672970313</v>
      </c>
    </row>
    <row r="185" spans="2:35" outlineLevel="1" x14ac:dyDescent="0.2">
      <c r="B185" s="159" t="s">
        <v>111</v>
      </c>
      <c r="C185" s="234">
        <v>9</v>
      </c>
      <c r="D185" s="234">
        <v>5</v>
      </c>
      <c r="E185" s="234">
        <v>8</v>
      </c>
      <c r="F185" s="234">
        <v>68</v>
      </c>
      <c r="G185" s="234">
        <v>2</v>
      </c>
      <c r="H185" s="234">
        <v>6</v>
      </c>
      <c r="I185" s="234">
        <v>4</v>
      </c>
      <c r="J185" s="234">
        <v>44</v>
      </c>
      <c r="K185" s="234">
        <v>1</v>
      </c>
      <c r="L185" s="234">
        <v>3</v>
      </c>
      <c r="M185" s="234">
        <v>4</v>
      </c>
      <c r="N185" s="234">
        <v>15</v>
      </c>
      <c r="O185" s="234">
        <v>0</v>
      </c>
      <c r="P185" s="234">
        <v>22</v>
      </c>
      <c r="Q185" s="234">
        <v>-1</v>
      </c>
      <c r="R185" s="244"/>
      <c r="S185" s="244"/>
      <c r="T185" s="244"/>
      <c r="U185" s="244"/>
      <c r="V185" s="244"/>
      <c r="X185" s="169">
        <f t="shared" ref="X185:AA185" si="681">X126-X178</f>
        <v>-17</v>
      </c>
      <c r="Y185" s="169">
        <f t="shared" si="681"/>
        <v>-32</v>
      </c>
      <c r="Z185" s="169">
        <f t="shared" si="681"/>
        <v>-36</v>
      </c>
      <c r="AA185" s="169">
        <f t="shared" si="681"/>
        <v>-35.329715064227329</v>
      </c>
      <c r="AB185" s="189">
        <f>SUM(S185:V185)</f>
        <v>0</v>
      </c>
    </row>
    <row r="186" spans="2:35" outlineLevel="1" x14ac:dyDescent="0.2">
      <c r="B186" s="161" t="s">
        <v>109</v>
      </c>
      <c r="C186" s="174">
        <f>C122-C174-C176-C178-C184-C185</f>
        <v>189</v>
      </c>
      <c r="D186" s="174">
        <f t="shared" ref="D186:V186" si="682">D122-D174-D176-D178-D184-D185</f>
        <v>207</v>
      </c>
      <c r="E186" s="174">
        <f t="shared" si="682"/>
        <v>205</v>
      </c>
      <c r="F186" s="174">
        <f t="shared" si="682"/>
        <v>147</v>
      </c>
      <c r="G186" s="174">
        <f t="shared" si="682"/>
        <v>230</v>
      </c>
      <c r="H186" s="174">
        <f t="shared" si="682"/>
        <v>241</v>
      </c>
      <c r="I186" s="174">
        <f t="shared" si="682"/>
        <v>228</v>
      </c>
      <c r="J186" s="174">
        <f t="shared" si="682"/>
        <v>220</v>
      </c>
      <c r="K186" s="174">
        <f t="shared" si="682"/>
        <v>285</v>
      </c>
      <c r="L186" s="174">
        <f t="shared" si="682"/>
        <v>285</v>
      </c>
      <c r="M186" s="174">
        <f t="shared" si="682"/>
        <v>307</v>
      </c>
      <c r="N186" s="174">
        <f t="shared" si="682"/>
        <v>326</v>
      </c>
      <c r="O186" s="174">
        <f t="shared" si="682"/>
        <v>369</v>
      </c>
      <c r="P186" s="174">
        <f t="shared" si="682"/>
        <v>398</v>
      </c>
      <c r="Q186" s="174">
        <f t="shared" si="682"/>
        <v>421</v>
      </c>
      <c r="R186" s="174">
        <f t="shared" si="682"/>
        <v>434.38610317287555</v>
      </c>
      <c r="S186" s="174">
        <f t="shared" si="682"/>
        <v>427.77003205384364</v>
      </c>
      <c r="T186" s="174">
        <f t="shared" si="682"/>
        <v>455.65623656787807</v>
      </c>
      <c r="U186" s="174">
        <f t="shared" si="682"/>
        <v>482.38894062070432</v>
      </c>
      <c r="V186" s="174">
        <f t="shared" si="682"/>
        <v>544.05349107917198</v>
      </c>
      <c r="X186" s="174">
        <f t="shared" ref="X186" si="683">X122-X174-X176-X178-X184-X185</f>
        <v>846</v>
      </c>
      <c r="Y186" s="174">
        <f t="shared" ref="Y186" si="684">Y122-Y174-Y176-Y178-Y184-Y185</f>
        <v>991</v>
      </c>
      <c r="Z186" s="174">
        <f t="shared" ref="Z186" si="685">Z122-Z174-Z176-Z178-Z184-Z185</f>
        <v>1262</v>
      </c>
      <c r="AA186" s="174">
        <f t="shared" ref="AA186" si="686">AA122-AA174-AA176-AA178-AA184-AA185</f>
        <v>1678.7158182371022</v>
      </c>
      <c r="AB186" s="174">
        <f t="shared" ref="AB186" si="687">AB122-AB174-AB176-AB178-AB184-AB185</f>
        <v>1909.8687003215982</v>
      </c>
      <c r="AC186" s="174">
        <f t="shared" ref="AC186" si="688">AC122-AC174-AC176-AC178-AC184-AC185</f>
        <v>2286.1861633703165</v>
      </c>
      <c r="AD186" s="174">
        <f t="shared" ref="AD186" si="689">AD122-AD174-AD176-AD178-AD184-AD185</f>
        <v>2837.4301316706733</v>
      </c>
      <c r="AE186" s="174">
        <f t="shared" ref="AE186" si="690">AE122-AE174-AE176-AE178-AE184-AE185</f>
        <v>3524.463998916146</v>
      </c>
      <c r="AF186" s="174">
        <f t="shared" ref="AF186" si="691">AF122-AF174-AF176-AF178-AF184-AF185</f>
        <v>4142.6587183594747</v>
      </c>
      <c r="AG186" s="174">
        <f t="shared" ref="AG186" si="692">AG122-AG174-AG176-AG178-AG184-AG185</f>
        <v>4883.5123455328994</v>
      </c>
      <c r="AI186" s="197">
        <f>RATE(6,,-AA186,AG186)</f>
        <v>0.19479258281250514</v>
      </c>
    </row>
    <row r="187" spans="2:35" outlineLevel="1" x14ac:dyDescent="0.2">
      <c r="B187" s="168" t="s">
        <v>28</v>
      </c>
      <c r="C187" s="180">
        <f>C186/C122</f>
        <v>0.15632754342431762</v>
      </c>
      <c r="D187" s="180">
        <f t="shared" ref="D187:V187" si="693">D186/D122</f>
        <v>0.17322175732217573</v>
      </c>
      <c r="E187" s="180">
        <f t="shared" si="693"/>
        <v>0.15978176149649259</v>
      </c>
      <c r="F187" s="180">
        <f t="shared" si="693"/>
        <v>0.11439688715953307</v>
      </c>
      <c r="G187" s="180">
        <f t="shared" si="693"/>
        <v>0.17371601208459214</v>
      </c>
      <c r="H187" s="180">
        <f t="shared" si="693"/>
        <v>0.17300789662598709</v>
      </c>
      <c r="I187" s="180">
        <f t="shared" si="693"/>
        <v>0.15910676901605025</v>
      </c>
      <c r="J187" s="180">
        <f t="shared" si="693"/>
        <v>0.14540647719762062</v>
      </c>
      <c r="K187" s="180">
        <f t="shared" si="693"/>
        <v>0.17779164067373673</v>
      </c>
      <c r="L187" s="180">
        <f t="shared" si="693"/>
        <v>0.1729368932038835</v>
      </c>
      <c r="M187" s="180">
        <f t="shared" si="693"/>
        <v>0.18516284680337755</v>
      </c>
      <c r="N187" s="180">
        <f t="shared" si="693"/>
        <v>0.18833044482957828</v>
      </c>
      <c r="O187" s="180">
        <f t="shared" si="693"/>
        <v>0.20230263157894737</v>
      </c>
      <c r="P187" s="180">
        <f t="shared" si="693"/>
        <v>0.21170212765957447</v>
      </c>
      <c r="Q187" s="180">
        <f t="shared" si="693"/>
        <v>0.22942779291553134</v>
      </c>
      <c r="R187" s="180">
        <f t="shared" si="693"/>
        <v>0.22835681835860874</v>
      </c>
      <c r="S187" s="180">
        <f t="shared" si="693"/>
        <v>0.22183096601843785</v>
      </c>
      <c r="T187" s="180">
        <f t="shared" si="693"/>
        <v>0.22903175468099354</v>
      </c>
      <c r="U187" s="180">
        <f t="shared" si="693"/>
        <v>0.24064071019985653</v>
      </c>
      <c r="V187" s="180">
        <f t="shared" si="693"/>
        <v>0.25516576444789046</v>
      </c>
      <c r="X187" s="180">
        <f t="shared" ref="X187" si="694">X186/X122</f>
        <v>0.17015285599356395</v>
      </c>
      <c r="Y187" s="180">
        <f t="shared" ref="Y187" si="695">Y186/Y122</f>
        <v>0.17499558537877449</v>
      </c>
      <c r="Z187" s="180">
        <f t="shared" ref="Z187" si="696">Z186/Z122</f>
        <v>0.19006024096385543</v>
      </c>
      <c r="AA187" s="180">
        <f t="shared" ref="AA187" si="697">AA186/AA122</f>
        <v>0.22559669470061766</v>
      </c>
      <c r="AB187" s="180">
        <f t="shared" ref="AB187" si="698">AB186/AB122</f>
        <v>0.23711500709863831</v>
      </c>
      <c r="AC187" s="180">
        <f t="shared" ref="AC187" si="699">AC186/AC122</f>
        <v>0.24176546511468242</v>
      </c>
      <c r="AD187" s="180">
        <f t="shared" ref="AD187" si="700">AD186/AD122</f>
        <v>0.26905005719800013</v>
      </c>
      <c r="AE187" s="180">
        <f t="shared" ref="AE187" si="701">AE186/AE122</f>
        <v>0.29061319380134371</v>
      </c>
      <c r="AF187" s="180">
        <f t="shared" ref="AF187" si="702">AF186/AF122</f>
        <v>0.31197952402808182</v>
      </c>
      <c r="AG187" s="180">
        <f t="shared" ref="AG187" si="703">AG186/AG122</f>
        <v>0.33405649164012363</v>
      </c>
    </row>
    <row r="188" spans="2:35" outlineLevel="1" x14ac:dyDescent="0.2">
      <c r="B188" s="168"/>
      <c r="C188" s="158"/>
      <c r="D188" s="169"/>
      <c r="E188" s="169"/>
      <c r="F188" s="169"/>
      <c r="G188" s="169"/>
      <c r="H188" s="169"/>
      <c r="I188" s="169"/>
      <c r="J188" s="169"/>
      <c r="K188" s="169"/>
      <c r="L188" s="169"/>
      <c r="M188" s="169"/>
      <c r="N188" s="169"/>
      <c r="O188" s="169"/>
      <c r="P188" s="169"/>
      <c r="Q188" s="169"/>
    </row>
    <row r="189" spans="2:35" outlineLevel="1" x14ac:dyDescent="0.2">
      <c r="B189" s="159" t="s">
        <v>106</v>
      </c>
      <c r="C189" s="234"/>
      <c r="D189" s="234"/>
      <c r="E189" s="234">
        <v>118</v>
      </c>
      <c r="F189" s="234">
        <v>5</v>
      </c>
      <c r="G189" s="234">
        <v>0</v>
      </c>
      <c r="H189" s="234">
        <v>2</v>
      </c>
      <c r="I189" s="234">
        <v>0</v>
      </c>
      <c r="J189" s="234">
        <v>0</v>
      </c>
      <c r="K189" s="234">
        <v>1</v>
      </c>
      <c r="L189" s="234">
        <v>0</v>
      </c>
      <c r="M189" s="234">
        <v>0</v>
      </c>
      <c r="N189" s="234">
        <v>1</v>
      </c>
      <c r="O189" s="234">
        <v>0</v>
      </c>
      <c r="P189" s="234">
        <v>0</v>
      </c>
      <c r="Q189" s="234">
        <v>6</v>
      </c>
      <c r="X189" s="182">
        <f>SUM(C189:F189)</f>
        <v>123</v>
      </c>
      <c r="Y189" s="182">
        <f>SUM(G189:J189)</f>
        <v>2</v>
      </c>
      <c r="Z189" s="189">
        <f>SUM(K189:N189)</f>
        <v>2</v>
      </c>
      <c r="AA189" s="189">
        <f>SUM(O189:R189)</f>
        <v>6</v>
      </c>
      <c r="AB189" s="189">
        <f>SUM(S189:V189)</f>
        <v>0</v>
      </c>
    </row>
    <row r="190" spans="2:35" outlineLevel="1" x14ac:dyDescent="0.2">
      <c r="B190" s="159" t="s">
        <v>107</v>
      </c>
      <c r="C190" s="234">
        <v>72</v>
      </c>
      <c r="D190" s="234">
        <v>89</v>
      </c>
      <c r="E190" s="234">
        <v>63</v>
      </c>
      <c r="F190" s="234">
        <v>58</v>
      </c>
      <c r="G190" s="234">
        <v>58</v>
      </c>
      <c r="H190" s="234">
        <v>57</v>
      </c>
      <c r="I190" s="234">
        <v>57</v>
      </c>
      <c r="J190" s="234">
        <v>57</v>
      </c>
      <c r="K190" s="234">
        <v>57</v>
      </c>
      <c r="L190" s="234">
        <v>55</v>
      </c>
      <c r="M190" s="234">
        <v>54</v>
      </c>
      <c r="N190" s="234">
        <v>52</v>
      </c>
      <c r="O190" s="234">
        <v>49</v>
      </c>
      <c r="P190" s="234">
        <v>49</v>
      </c>
      <c r="Q190" s="234">
        <v>44</v>
      </c>
      <c r="R190" s="183">
        <f>Q190</f>
        <v>44</v>
      </c>
      <c r="S190" s="183">
        <f t="shared" ref="S190:V191" si="704">R190</f>
        <v>44</v>
      </c>
      <c r="T190" s="183">
        <f t="shared" si="704"/>
        <v>44</v>
      </c>
      <c r="U190" s="183">
        <f t="shared" si="704"/>
        <v>44</v>
      </c>
      <c r="V190" s="183">
        <f t="shared" si="704"/>
        <v>44</v>
      </c>
      <c r="X190" s="182">
        <f>SUM(C190:F190)</f>
        <v>282</v>
      </c>
      <c r="Y190" s="182">
        <f>SUM(G190:J190)</f>
        <v>229</v>
      </c>
      <c r="Z190" s="189">
        <f>SUM(K190:N190)</f>
        <v>218</v>
      </c>
      <c r="AA190" s="189">
        <f>SUM(O190:R190)</f>
        <v>186</v>
      </c>
      <c r="AB190" s="189">
        <f>SUM(S190:V190)</f>
        <v>176</v>
      </c>
      <c r="AC190" s="183">
        <f>AB190</f>
        <v>176</v>
      </c>
      <c r="AD190" s="183">
        <f t="shared" ref="AD190:AD191" si="705">AC190</f>
        <v>176</v>
      </c>
      <c r="AE190" s="183">
        <f t="shared" ref="AE190:AE191" si="706">AD190</f>
        <v>176</v>
      </c>
      <c r="AF190" s="183">
        <f t="shared" ref="AF190:AF191" si="707">AE190</f>
        <v>176</v>
      </c>
      <c r="AG190" s="183">
        <f t="shared" ref="AG190:AG191" si="708">AF190</f>
        <v>176</v>
      </c>
    </row>
    <row r="191" spans="2:35" outlineLevel="1" x14ac:dyDescent="0.2">
      <c r="B191" s="159" t="s">
        <v>108</v>
      </c>
      <c r="C191" s="234">
        <v>4</v>
      </c>
      <c r="D191" s="234">
        <v>8</v>
      </c>
      <c r="E191" s="234">
        <v>1</v>
      </c>
      <c r="F191" s="234">
        <v>6</v>
      </c>
      <c r="G191" s="234">
        <v>1</v>
      </c>
      <c r="H191" s="234">
        <v>-1</v>
      </c>
      <c r="I191" s="234">
        <v>67</v>
      </c>
      <c r="J191" s="234">
        <v>15</v>
      </c>
      <c r="K191" s="234">
        <v>7</v>
      </c>
      <c r="L191" s="234">
        <v>-13</v>
      </c>
      <c r="M191" s="234">
        <v>11</v>
      </c>
      <c r="N191" s="234">
        <v>3</v>
      </c>
      <c r="O191" s="234">
        <v>17</v>
      </c>
      <c r="P191" s="234">
        <v>15</v>
      </c>
      <c r="Q191" s="234">
        <v>17</v>
      </c>
      <c r="R191" s="183">
        <f>Q191</f>
        <v>17</v>
      </c>
      <c r="S191" s="183">
        <f t="shared" si="704"/>
        <v>17</v>
      </c>
      <c r="T191" s="183">
        <f t="shared" si="704"/>
        <v>17</v>
      </c>
      <c r="U191" s="183">
        <f t="shared" si="704"/>
        <v>17</v>
      </c>
      <c r="V191" s="183">
        <f t="shared" si="704"/>
        <v>17</v>
      </c>
      <c r="X191" s="182">
        <f>SUM(C191:F191)</f>
        <v>19</v>
      </c>
      <c r="Y191" s="182">
        <f>SUM(G191:J191)</f>
        <v>82</v>
      </c>
      <c r="Z191" s="189">
        <f>SUM(K191:N191)</f>
        <v>8</v>
      </c>
      <c r="AA191" s="189">
        <f>SUM(O191:R191)</f>
        <v>66</v>
      </c>
      <c r="AB191" s="189">
        <f>SUM(S191:V191)</f>
        <v>68</v>
      </c>
      <c r="AC191" s="183">
        <v>20</v>
      </c>
      <c r="AD191" s="183">
        <f t="shared" si="705"/>
        <v>20</v>
      </c>
      <c r="AE191" s="183">
        <f t="shared" si="706"/>
        <v>20</v>
      </c>
      <c r="AF191" s="183">
        <f t="shared" si="707"/>
        <v>20</v>
      </c>
      <c r="AG191" s="183">
        <f t="shared" si="708"/>
        <v>20</v>
      </c>
    </row>
    <row r="192" spans="2:35" outlineLevel="1" x14ac:dyDescent="0.2">
      <c r="B192" s="159"/>
      <c r="C192" s="169"/>
      <c r="D192" s="169"/>
      <c r="E192" s="169"/>
      <c r="F192" s="169"/>
      <c r="G192" s="169"/>
      <c r="H192" s="169"/>
      <c r="I192" s="169"/>
      <c r="J192" s="169"/>
      <c r="K192" s="169"/>
      <c r="L192" s="169"/>
      <c r="M192" s="169"/>
      <c r="N192" s="169"/>
      <c r="O192" s="169"/>
      <c r="P192" s="169"/>
      <c r="Q192" s="169"/>
    </row>
    <row r="193" spans="2:33" outlineLevel="1" x14ac:dyDescent="0.2">
      <c r="B193" s="161" t="s">
        <v>105</v>
      </c>
      <c r="C193" s="174">
        <f>C186-C189-C190-C191</f>
        <v>113</v>
      </c>
      <c r="D193" s="174">
        <f t="shared" ref="D193:AB193" si="709">D186-D189-D190-D191</f>
        <v>110</v>
      </c>
      <c r="E193" s="174">
        <f t="shared" si="709"/>
        <v>23</v>
      </c>
      <c r="F193" s="174">
        <f t="shared" si="709"/>
        <v>78</v>
      </c>
      <c r="G193" s="174">
        <f t="shared" si="709"/>
        <v>171</v>
      </c>
      <c r="H193" s="174">
        <f t="shared" si="709"/>
        <v>183</v>
      </c>
      <c r="I193" s="174">
        <f t="shared" si="709"/>
        <v>104</v>
      </c>
      <c r="J193" s="174">
        <f t="shared" si="709"/>
        <v>148</v>
      </c>
      <c r="K193" s="174">
        <f t="shared" si="709"/>
        <v>220</v>
      </c>
      <c r="L193" s="174">
        <f t="shared" si="709"/>
        <v>243</v>
      </c>
      <c r="M193" s="174">
        <f t="shared" si="709"/>
        <v>242</v>
      </c>
      <c r="N193" s="174">
        <f t="shared" si="709"/>
        <v>270</v>
      </c>
      <c r="O193" s="174">
        <f t="shared" si="709"/>
        <v>303</v>
      </c>
      <c r="P193" s="174">
        <f t="shared" si="709"/>
        <v>334</v>
      </c>
      <c r="Q193" s="174">
        <f t="shared" si="709"/>
        <v>354</v>
      </c>
      <c r="R193" s="174">
        <f t="shared" si="709"/>
        <v>373.38610317287555</v>
      </c>
      <c r="S193" s="174">
        <f t="shared" si="709"/>
        <v>366.77003205384364</v>
      </c>
      <c r="T193" s="174">
        <f t="shared" si="709"/>
        <v>394.65623656787807</v>
      </c>
      <c r="U193" s="174">
        <f t="shared" si="709"/>
        <v>421.38894062070432</v>
      </c>
      <c r="V193" s="174">
        <f t="shared" si="709"/>
        <v>483.05349107917198</v>
      </c>
      <c r="X193" s="233">
        <f t="shared" si="709"/>
        <v>422</v>
      </c>
      <c r="Y193" s="233">
        <f t="shared" si="709"/>
        <v>678</v>
      </c>
      <c r="Z193" s="190">
        <f t="shared" si="709"/>
        <v>1034</v>
      </c>
      <c r="AA193" s="190">
        <f t="shared" si="709"/>
        <v>1420.7158182371022</v>
      </c>
      <c r="AB193" s="190">
        <f t="shared" si="709"/>
        <v>1665.8687003215982</v>
      </c>
      <c r="AC193" s="190">
        <f t="shared" ref="AC193:AG193" si="710">AC186-AC189-AC190-AC191</f>
        <v>2090.1861633703165</v>
      </c>
      <c r="AD193" s="190">
        <f t="shared" si="710"/>
        <v>2641.4301316706733</v>
      </c>
      <c r="AE193" s="190">
        <f t="shared" si="710"/>
        <v>3328.463998916146</v>
      </c>
      <c r="AF193" s="190">
        <f t="shared" si="710"/>
        <v>3946.6587183594747</v>
      </c>
      <c r="AG193" s="190">
        <f t="shared" si="710"/>
        <v>4687.5123455328994</v>
      </c>
    </row>
    <row r="194" spans="2:33" outlineLevel="1" x14ac:dyDescent="0.2">
      <c r="B194" s="159" t="s">
        <v>189</v>
      </c>
      <c r="C194" s="175">
        <v>33</v>
      </c>
      <c r="D194" s="175">
        <v>36</v>
      </c>
      <c r="E194" s="175">
        <v>-4</v>
      </c>
      <c r="F194" s="175">
        <v>1</v>
      </c>
      <c r="G194" s="175">
        <v>40</v>
      </c>
      <c r="H194" s="175">
        <v>36</v>
      </c>
      <c r="I194" s="175">
        <v>24</v>
      </c>
      <c r="J194" s="175">
        <v>37</v>
      </c>
      <c r="K194" s="175">
        <v>72</v>
      </c>
      <c r="L194" s="175">
        <v>50</v>
      </c>
      <c r="M194" s="175">
        <v>54</v>
      </c>
      <c r="N194" s="175">
        <v>34</v>
      </c>
      <c r="O194" s="175">
        <v>60</v>
      </c>
      <c r="P194" s="175">
        <v>68</v>
      </c>
      <c r="Q194" s="175">
        <v>22</v>
      </c>
      <c r="R194" s="169">
        <f>R196*R193</f>
        <v>57.720451959141208</v>
      </c>
      <c r="S194" s="169">
        <f t="shared" ref="S194:V194" si="711">S196*S193</f>
        <v>56.697696661235724</v>
      </c>
      <c r="T194" s="169">
        <f t="shared" si="711"/>
        <v>61.008527499066538</v>
      </c>
      <c r="U194" s="169">
        <f t="shared" si="711"/>
        <v>65.141042734387668</v>
      </c>
      <c r="V194" s="169">
        <f t="shared" si="711"/>
        <v>74.67354994896948</v>
      </c>
      <c r="X194" s="182">
        <f>SUM(C194:F194)</f>
        <v>66</v>
      </c>
      <c r="Y194" s="182">
        <f>SUM(G194:J194)</f>
        <v>137</v>
      </c>
      <c r="Z194" s="189">
        <f>SUM(K194:N194)</f>
        <v>210</v>
      </c>
      <c r="AA194" s="189">
        <f>SUM(O194:R194)</f>
        <v>207.7204519591412</v>
      </c>
      <c r="AB194" s="189">
        <f>SUM(S194:V194)</f>
        <v>257.52081684365942</v>
      </c>
      <c r="AC194" s="169">
        <f>AC196*AC193</f>
        <v>314.35857306185272</v>
      </c>
      <c r="AD194" s="169">
        <f t="shared" ref="AD194:AG194" si="712">AD196*AD193</f>
        <v>397.26423492138537</v>
      </c>
      <c r="AE194" s="169">
        <f t="shared" si="712"/>
        <v>500.59234508560382</v>
      </c>
      <c r="AF194" s="169">
        <f t="shared" si="712"/>
        <v>593.56722611975169</v>
      </c>
      <c r="AG194" s="169">
        <f t="shared" si="712"/>
        <v>704.98968846655373</v>
      </c>
    </row>
    <row r="195" spans="2:33" outlineLevel="1" x14ac:dyDescent="0.2">
      <c r="B195" s="159"/>
      <c r="C195" s="175"/>
      <c r="D195" s="175"/>
      <c r="E195" s="175"/>
      <c r="F195" s="175"/>
      <c r="G195" s="175"/>
      <c r="H195" s="175"/>
      <c r="I195" s="175"/>
      <c r="J195" s="175"/>
      <c r="K195" s="175"/>
      <c r="L195" s="175"/>
      <c r="M195" s="169"/>
      <c r="N195" s="169"/>
      <c r="O195" s="175"/>
      <c r="P195" s="175"/>
      <c r="Q195" s="175"/>
    </row>
    <row r="196" spans="2:33" outlineLevel="1" x14ac:dyDescent="0.2">
      <c r="B196" s="185" t="s">
        <v>200</v>
      </c>
      <c r="C196" s="184">
        <f t="shared" ref="C196:J196" si="713">C194/C193</f>
        <v>0.29203539823008851</v>
      </c>
      <c r="D196" s="184">
        <f t="shared" si="713"/>
        <v>0.32727272727272727</v>
      </c>
      <c r="E196" s="184">
        <f t="shared" si="713"/>
        <v>-0.17391304347826086</v>
      </c>
      <c r="F196" s="184">
        <f t="shared" si="713"/>
        <v>1.282051282051282E-2</v>
      </c>
      <c r="G196" s="184">
        <f t="shared" si="713"/>
        <v>0.23391812865497075</v>
      </c>
      <c r="H196" s="184">
        <f t="shared" si="713"/>
        <v>0.19672131147540983</v>
      </c>
      <c r="I196" s="184">
        <f t="shared" si="713"/>
        <v>0.23076923076923078</v>
      </c>
      <c r="J196" s="184">
        <f t="shared" si="713"/>
        <v>0.25</v>
      </c>
      <c r="K196" s="184">
        <f t="shared" ref="K196:Q196" si="714">K194/K193</f>
        <v>0.32727272727272727</v>
      </c>
      <c r="L196" s="184">
        <f t="shared" si="714"/>
        <v>0.20576131687242799</v>
      </c>
      <c r="M196" s="184">
        <f t="shared" si="714"/>
        <v>0.2231404958677686</v>
      </c>
      <c r="N196" s="184">
        <f t="shared" si="714"/>
        <v>0.12592592592592591</v>
      </c>
      <c r="O196" s="184">
        <f t="shared" si="714"/>
        <v>0.19801980198019803</v>
      </c>
      <c r="P196" s="184">
        <f t="shared" si="714"/>
        <v>0.20359281437125748</v>
      </c>
      <c r="Q196" s="184">
        <f t="shared" si="714"/>
        <v>6.2146892655367235E-2</v>
      </c>
      <c r="R196" s="181">
        <f>AVERAGE(O196:Q196)</f>
        <v>0.15458650300227425</v>
      </c>
      <c r="S196" s="181">
        <f>R196</f>
        <v>0.15458650300227425</v>
      </c>
      <c r="T196" s="181">
        <f t="shared" ref="T196:V196" si="715">S196</f>
        <v>0.15458650300227425</v>
      </c>
      <c r="U196" s="181">
        <f t="shared" si="715"/>
        <v>0.15458650300227425</v>
      </c>
      <c r="V196" s="181">
        <f t="shared" si="715"/>
        <v>0.15458650300227425</v>
      </c>
      <c r="X196" s="343">
        <f t="shared" ref="X196:AB196" si="716">X194/X193</f>
        <v>0.15639810426540285</v>
      </c>
      <c r="Y196" s="343">
        <f t="shared" si="716"/>
        <v>0.20206489675516223</v>
      </c>
      <c r="Z196" s="343">
        <f t="shared" si="716"/>
        <v>0.20309477756286268</v>
      </c>
      <c r="AA196" s="343">
        <f t="shared" si="716"/>
        <v>0.14620830520271921</v>
      </c>
      <c r="AB196" s="343">
        <f t="shared" si="716"/>
        <v>0.15458650300227422</v>
      </c>
      <c r="AC196" s="250">
        <f>AVERAGE(AA196:AB196)</f>
        <v>0.15039740410249672</v>
      </c>
      <c r="AD196" s="250">
        <f>AC196</f>
        <v>0.15039740410249672</v>
      </c>
      <c r="AE196" s="250">
        <f t="shared" ref="AE196" si="717">AD196</f>
        <v>0.15039740410249672</v>
      </c>
      <c r="AF196" s="250">
        <f t="shared" ref="AF196" si="718">AE196</f>
        <v>0.15039740410249672</v>
      </c>
      <c r="AG196" s="250">
        <f>AF196</f>
        <v>0.15039740410249672</v>
      </c>
    </row>
    <row r="197" spans="2:33" outlineLevel="1" x14ac:dyDescent="0.2">
      <c r="B197" s="159"/>
      <c r="C197" s="175"/>
      <c r="D197" s="175"/>
      <c r="E197" s="175"/>
      <c r="F197" s="175"/>
      <c r="G197" s="175"/>
      <c r="H197" s="175"/>
      <c r="I197" s="175"/>
      <c r="J197" s="175"/>
      <c r="K197" s="175"/>
      <c r="L197" s="175"/>
      <c r="M197" s="169"/>
      <c r="N197" s="169"/>
      <c r="O197" s="175"/>
      <c r="P197" s="175"/>
      <c r="Q197" s="175"/>
    </row>
    <row r="198" spans="2:33" outlineLevel="1" x14ac:dyDescent="0.2">
      <c r="B198" s="161" t="s">
        <v>112</v>
      </c>
      <c r="C198" s="174">
        <f>C193-C194</f>
        <v>80</v>
      </c>
      <c r="D198" s="174">
        <f t="shared" ref="D198:J198" si="719">D193-D194</f>
        <v>74</v>
      </c>
      <c r="E198" s="174">
        <f t="shared" si="719"/>
        <v>27</v>
      </c>
      <c r="F198" s="174">
        <f t="shared" si="719"/>
        <v>77</v>
      </c>
      <c r="G198" s="174">
        <f t="shared" si="719"/>
        <v>131</v>
      </c>
      <c r="H198" s="174">
        <f t="shared" si="719"/>
        <v>147</v>
      </c>
      <c r="I198" s="174">
        <f t="shared" si="719"/>
        <v>80</v>
      </c>
      <c r="J198" s="174">
        <f t="shared" si="719"/>
        <v>111</v>
      </c>
      <c r="K198" s="174">
        <f>K193-K194</f>
        <v>148</v>
      </c>
      <c r="L198" s="174">
        <f t="shared" ref="L198:AG198" si="720">L193-L194</f>
        <v>193</v>
      </c>
      <c r="M198" s="174">
        <f t="shared" si="720"/>
        <v>188</v>
      </c>
      <c r="N198" s="174">
        <f t="shared" si="720"/>
        <v>236</v>
      </c>
      <c r="O198" s="174">
        <f t="shared" si="720"/>
        <v>243</v>
      </c>
      <c r="P198" s="174">
        <f t="shared" si="720"/>
        <v>266</v>
      </c>
      <c r="Q198" s="174">
        <f t="shared" si="720"/>
        <v>332</v>
      </c>
      <c r="R198" s="174">
        <f t="shared" si="720"/>
        <v>315.66565121373435</v>
      </c>
      <c r="S198" s="174">
        <f t="shared" si="720"/>
        <v>310.0723353926079</v>
      </c>
      <c r="T198" s="174">
        <f t="shared" si="720"/>
        <v>333.64770906881154</v>
      </c>
      <c r="U198" s="174">
        <f t="shared" si="720"/>
        <v>356.24789788631665</v>
      </c>
      <c r="V198" s="174">
        <f t="shared" si="720"/>
        <v>408.3799411302025</v>
      </c>
      <c r="X198" s="174">
        <f t="shared" si="720"/>
        <v>356</v>
      </c>
      <c r="Y198" s="174">
        <f t="shared" si="720"/>
        <v>541</v>
      </c>
      <c r="Z198" s="174">
        <f t="shared" si="720"/>
        <v>824</v>
      </c>
      <c r="AA198" s="174">
        <f t="shared" si="720"/>
        <v>1212.995366277961</v>
      </c>
      <c r="AB198" s="174">
        <f t="shared" si="720"/>
        <v>1408.3478834779389</v>
      </c>
      <c r="AC198" s="174">
        <f t="shared" si="720"/>
        <v>1775.8275903084639</v>
      </c>
      <c r="AD198" s="174">
        <f t="shared" si="720"/>
        <v>2244.1658967492881</v>
      </c>
      <c r="AE198" s="174">
        <f t="shared" si="720"/>
        <v>2827.8716538305421</v>
      </c>
      <c r="AF198" s="174">
        <f t="shared" si="720"/>
        <v>3353.0914922397233</v>
      </c>
      <c r="AG198" s="174">
        <f t="shared" si="720"/>
        <v>3982.5226570663458</v>
      </c>
    </row>
    <row r="199" spans="2:33" outlineLevel="1" x14ac:dyDescent="0.2">
      <c r="B199" s="159" t="s">
        <v>48</v>
      </c>
      <c r="C199" s="175">
        <v>439.33764300000001</v>
      </c>
      <c r="D199" s="175">
        <v>431.59360700000002</v>
      </c>
      <c r="E199" s="175">
        <v>428.57463000000001</v>
      </c>
      <c r="F199" s="175">
        <v>425.66064999999998</v>
      </c>
      <c r="G199" s="175">
        <v>418.87218100000001</v>
      </c>
      <c r="H199" s="175">
        <v>422.05371700000001</v>
      </c>
      <c r="I199" s="175">
        <v>419.74883899999998</v>
      </c>
      <c r="J199" s="175">
        <v>419.08211499999999</v>
      </c>
      <c r="K199" s="175">
        <v>418.26045900000003</v>
      </c>
      <c r="L199" s="175">
        <v>417.00552199999998</v>
      </c>
      <c r="M199" s="175">
        <v>414.57484799999997</v>
      </c>
      <c r="N199" s="175">
        <v>413.94135299999999</v>
      </c>
      <c r="O199" s="175">
        <v>412</v>
      </c>
      <c r="P199" s="175">
        <v>411</v>
      </c>
      <c r="Q199" s="175">
        <v>410</v>
      </c>
      <c r="R199" s="338">
        <f>Q199+(R263+R284)/$A$2</f>
        <v>409.01651177479022</v>
      </c>
      <c r="S199" s="338">
        <f t="shared" ref="S199:V199" si="721">R199+(S263+S284)/$A$2</f>
        <v>408.03302354958043</v>
      </c>
      <c r="T199" s="338">
        <f t="shared" si="721"/>
        <v>407.04953532437065</v>
      </c>
      <c r="U199" s="338">
        <f t="shared" si="721"/>
        <v>406.06604709916087</v>
      </c>
      <c r="V199" s="338">
        <f t="shared" si="721"/>
        <v>405.08255887395109</v>
      </c>
      <c r="X199" s="182">
        <f>AVERAGE(C199:F199)</f>
        <v>431.29163250000005</v>
      </c>
      <c r="Y199" s="182">
        <f>AVERAGE(G199:J199)</f>
        <v>419.93921299999994</v>
      </c>
      <c r="Z199" s="189">
        <f>AVERAGE(K199:N199)</f>
        <v>415.94554549999998</v>
      </c>
      <c r="AA199" s="189">
        <f>AVERAGE(O199:R199)</f>
        <v>410.50412794369754</v>
      </c>
      <c r="AB199" s="189">
        <f>AA199</f>
        <v>410.50412794369754</v>
      </c>
      <c r="AC199" s="176">
        <f>AB199</f>
        <v>410.50412794369754</v>
      </c>
      <c r="AD199" s="176">
        <f t="shared" ref="AD199:AG199" si="722">AC199</f>
        <v>410.50412794369754</v>
      </c>
      <c r="AE199" s="176">
        <f t="shared" si="722"/>
        <v>410.50412794369754</v>
      </c>
      <c r="AF199" s="176">
        <f t="shared" si="722"/>
        <v>410.50412794369754</v>
      </c>
      <c r="AG199" s="176">
        <f t="shared" si="722"/>
        <v>410.50412794369754</v>
      </c>
    </row>
    <row r="200" spans="2:33" ht="15" outlineLevel="1" x14ac:dyDescent="0.25">
      <c r="B200" s="163" t="s">
        <v>190</v>
      </c>
      <c r="C200" s="242">
        <f t="shared" ref="C200:J200" si="723">C198/C199</f>
        <v>0.18209229569704774</v>
      </c>
      <c r="D200" s="242">
        <f t="shared" si="723"/>
        <v>0.17145759065889035</v>
      </c>
      <c r="E200" s="242">
        <f t="shared" si="723"/>
        <v>6.2999529393515427E-2</v>
      </c>
      <c r="F200" s="242">
        <f t="shared" si="723"/>
        <v>0.18089527420493298</v>
      </c>
      <c r="G200" s="242">
        <f t="shared" si="723"/>
        <v>0.31274456968532843</v>
      </c>
      <c r="H200" s="242">
        <f t="shared" si="723"/>
        <v>0.34829689700375271</v>
      </c>
      <c r="I200" s="242">
        <f t="shared" si="723"/>
        <v>0.19059016384795768</v>
      </c>
      <c r="J200" s="242">
        <f t="shared" si="723"/>
        <v>0.26486456001588138</v>
      </c>
      <c r="K200" s="242">
        <f>K198/K199</f>
        <v>0.35384650118217365</v>
      </c>
      <c r="L200" s="242">
        <f>L198/L199</f>
        <v>0.46282360740537148</v>
      </c>
      <c r="M200" s="242">
        <f>M198/M199</f>
        <v>0.45347661805088574</v>
      </c>
      <c r="N200" s="242">
        <f t="shared" ref="N200:O200" si="724">N198/N199</f>
        <v>0.57012907333276264</v>
      </c>
      <c r="O200" s="242">
        <f t="shared" si="724"/>
        <v>0.58980582524271841</v>
      </c>
      <c r="P200" s="242">
        <f t="shared" ref="P200:AG200" si="725">P198/P199</f>
        <v>0.64720194647201945</v>
      </c>
      <c r="Q200" s="242">
        <f t="shared" si="725"/>
        <v>0.80975609756097566</v>
      </c>
      <c r="R200" s="242">
        <f t="shared" si="725"/>
        <v>0.77176750113096637</v>
      </c>
      <c r="S200" s="242">
        <f t="shared" si="725"/>
        <v>0.75991970624145022</v>
      </c>
      <c r="T200" s="242">
        <f t="shared" si="725"/>
        <v>0.81967347979634353</v>
      </c>
      <c r="U200" s="242">
        <f t="shared" si="725"/>
        <v>0.87731515705700291</v>
      </c>
      <c r="V200" s="242">
        <f t="shared" si="725"/>
        <v>1.0081400252467485</v>
      </c>
      <c r="X200" s="242">
        <f>X198/X199</f>
        <v>0.82542756031790154</v>
      </c>
      <c r="Y200" s="242">
        <f t="shared" si="725"/>
        <v>1.2882816923315044</v>
      </c>
      <c r="Z200" s="242">
        <f t="shared" si="725"/>
        <v>1.9810285478823575</v>
      </c>
      <c r="AA200" s="242">
        <f t="shared" si="725"/>
        <v>2.9548920064558493</v>
      </c>
      <c r="AB200" s="242">
        <f t="shared" si="725"/>
        <v>3.4307764224750987</v>
      </c>
      <c r="AC200" s="242">
        <f t="shared" si="725"/>
        <v>4.3259676807733012</v>
      </c>
      <c r="AD200" s="242">
        <f t="shared" si="725"/>
        <v>5.466853422377973</v>
      </c>
      <c r="AE200" s="242">
        <f t="shared" si="725"/>
        <v>6.8887776305586801</v>
      </c>
      <c r="AF200" s="242">
        <f t="shared" si="725"/>
        <v>8.1682284391050377</v>
      </c>
      <c r="AG200" s="242">
        <f t="shared" si="725"/>
        <v>9.7015410710134606</v>
      </c>
    </row>
    <row r="201" spans="2:33" outlineLevel="1" x14ac:dyDescent="0.2">
      <c r="B201" s="159"/>
      <c r="C201" s="169"/>
      <c r="D201" s="169"/>
      <c r="E201" s="169"/>
      <c r="F201" s="169"/>
      <c r="G201" s="169"/>
      <c r="H201" s="169"/>
      <c r="I201" s="169"/>
      <c r="J201" s="169"/>
      <c r="K201" s="169"/>
      <c r="L201" s="169"/>
      <c r="M201" s="169"/>
      <c r="N201" s="169"/>
      <c r="O201" s="169"/>
      <c r="P201" s="169"/>
      <c r="Q201" s="169"/>
    </row>
    <row r="202" spans="2:33" outlineLevel="1" x14ac:dyDescent="0.2">
      <c r="B202" s="159" t="s">
        <v>191</v>
      </c>
      <c r="C202" s="175">
        <f>9-1+7+1</f>
        <v>16</v>
      </c>
      <c r="D202" s="175">
        <f>5+5+23-3-4+2-5</f>
        <v>23</v>
      </c>
      <c r="E202" s="175">
        <f>8-12+120+1+10-2-32</f>
        <v>93</v>
      </c>
      <c r="F202" s="175">
        <f>68+18+4-11+25+3-54</f>
        <v>53</v>
      </c>
      <c r="G202" s="175">
        <f>2-2+5-3-1</f>
        <v>1</v>
      </c>
      <c r="H202" s="175">
        <f>6-7+2+2+1-2</f>
        <v>2</v>
      </c>
      <c r="I202" s="175">
        <f>4-2+25+65+1-21</f>
        <v>72</v>
      </c>
      <c r="J202" s="175">
        <f>44+4+1</f>
        <v>49</v>
      </c>
      <c r="K202" s="175">
        <f>1+20+1+1+4+1-1</f>
        <v>27</v>
      </c>
      <c r="L202" s="175">
        <f>3-4+7-24+9+2-5</f>
        <v>-12</v>
      </c>
      <c r="M202" s="175">
        <f>4+1+1+1-1-2</f>
        <v>4</v>
      </c>
      <c r="N202" s="175">
        <f>15+1-13+2-23</f>
        <v>-18</v>
      </c>
      <c r="O202" s="175">
        <f>+-6</f>
        <v>-6</v>
      </c>
      <c r="P202" s="175">
        <f>22-6-6</f>
        <v>10</v>
      </c>
      <c r="Q202" s="175">
        <f>-1+6-1-45</f>
        <v>-41</v>
      </c>
      <c r="X202" s="182">
        <f>SUM(C202:F202)</f>
        <v>185</v>
      </c>
      <c r="Y202" s="182">
        <f>SUM(G202:J202)</f>
        <v>124</v>
      </c>
      <c r="Z202" s="189">
        <f>SUM(K202:N202)</f>
        <v>1</v>
      </c>
      <c r="AA202" s="189">
        <f>SUM(O202:R202)</f>
        <v>-37</v>
      </c>
      <c r="AB202" s="189">
        <f>SUM(S202:V202)</f>
        <v>0</v>
      </c>
    </row>
    <row r="203" spans="2:33" outlineLevel="1" x14ac:dyDescent="0.2">
      <c r="B203" s="161" t="s">
        <v>192</v>
      </c>
      <c r="C203" s="174">
        <f t="shared" ref="C203:J203" si="726">C198+C202</f>
        <v>96</v>
      </c>
      <c r="D203" s="174">
        <f t="shared" si="726"/>
        <v>97</v>
      </c>
      <c r="E203" s="174">
        <f t="shared" si="726"/>
        <v>120</v>
      </c>
      <c r="F203" s="174">
        <f t="shared" si="726"/>
        <v>130</v>
      </c>
      <c r="G203" s="174">
        <f t="shared" si="726"/>
        <v>132</v>
      </c>
      <c r="H203" s="174">
        <f t="shared" si="726"/>
        <v>149</v>
      </c>
      <c r="I203" s="174">
        <f t="shared" si="726"/>
        <v>152</v>
      </c>
      <c r="J203" s="174">
        <f t="shared" si="726"/>
        <v>160</v>
      </c>
      <c r="K203" s="174">
        <f t="shared" ref="K203:P203" si="727">K198+K202</f>
        <v>175</v>
      </c>
      <c r="L203" s="174">
        <f t="shared" si="727"/>
        <v>181</v>
      </c>
      <c r="M203" s="174">
        <f t="shared" si="727"/>
        <v>192</v>
      </c>
      <c r="N203" s="174">
        <f t="shared" si="727"/>
        <v>218</v>
      </c>
      <c r="O203" s="174">
        <f t="shared" si="727"/>
        <v>237</v>
      </c>
      <c r="P203" s="174">
        <f t="shared" si="727"/>
        <v>276</v>
      </c>
      <c r="Q203" s="174">
        <f>Q198+Q202</f>
        <v>291</v>
      </c>
      <c r="R203" s="174">
        <f t="shared" ref="R203:V203" si="728">R198+R202</f>
        <v>315.66565121373435</v>
      </c>
      <c r="S203" s="174">
        <f t="shared" si="728"/>
        <v>310.0723353926079</v>
      </c>
      <c r="T203" s="174">
        <f t="shared" si="728"/>
        <v>333.64770906881154</v>
      </c>
      <c r="U203" s="174">
        <f t="shared" si="728"/>
        <v>356.24789788631665</v>
      </c>
      <c r="V203" s="174">
        <f t="shared" si="728"/>
        <v>408.3799411302025</v>
      </c>
      <c r="X203" s="174">
        <f t="shared" ref="X203:AG203" si="729">X198+X202</f>
        <v>541</v>
      </c>
      <c r="Y203" s="174">
        <f t="shared" si="729"/>
        <v>665</v>
      </c>
      <c r="Z203" s="174">
        <f t="shared" si="729"/>
        <v>825</v>
      </c>
      <c r="AA203" s="174">
        <f t="shared" si="729"/>
        <v>1175.995366277961</v>
      </c>
      <c r="AB203" s="174">
        <f t="shared" si="729"/>
        <v>1408.3478834779389</v>
      </c>
      <c r="AC203" s="174">
        <f t="shared" si="729"/>
        <v>1775.8275903084639</v>
      </c>
      <c r="AD203" s="174">
        <f t="shared" si="729"/>
        <v>2244.1658967492881</v>
      </c>
      <c r="AE203" s="174">
        <f t="shared" si="729"/>
        <v>2827.8716538305421</v>
      </c>
      <c r="AF203" s="174">
        <f t="shared" si="729"/>
        <v>3353.0914922397233</v>
      </c>
      <c r="AG203" s="174">
        <f t="shared" si="729"/>
        <v>3982.5226570663458</v>
      </c>
    </row>
    <row r="204" spans="2:33" ht="15" outlineLevel="1" x14ac:dyDescent="0.25">
      <c r="B204" s="163" t="s">
        <v>193</v>
      </c>
      <c r="C204" s="242">
        <f t="shared" ref="C204:J204" si="730">C203/C199</f>
        <v>0.21851075483645729</v>
      </c>
      <c r="D204" s="242">
        <f t="shared" si="730"/>
        <v>0.22474846343124819</v>
      </c>
      <c r="E204" s="242">
        <f t="shared" si="730"/>
        <v>0.27999790841562411</v>
      </c>
      <c r="F204" s="242">
        <f t="shared" si="730"/>
        <v>0.30540760580053622</v>
      </c>
      <c r="G204" s="242">
        <f t="shared" si="730"/>
        <v>0.31513193281269736</v>
      </c>
      <c r="H204" s="242">
        <f t="shared" si="730"/>
        <v>0.35303563029632079</v>
      </c>
      <c r="I204" s="242">
        <f t="shared" si="730"/>
        <v>0.36212131131111958</v>
      </c>
      <c r="J204" s="242">
        <f t="shared" si="730"/>
        <v>0.38178675317604521</v>
      </c>
      <c r="K204" s="242">
        <f t="shared" ref="K204:P204" si="731">K203/K199</f>
        <v>0.41839957910054315</v>
      </c>
      <c r="L204" s="242">
        <f t="shared" si="731"/>
        <v>0.43404701005374219</v>
      </c>
      <c r="M204" s="242">
        <f t="shared" si="731"/>
        <v>0.46312505673281945</v>
      </c>
      <c r="N204" s="242">
        <f t="shared" si="731"/>
        <v>0.52664465248534853</v>
      </c>
      <c r="O204" s="242">
        <f t="shared" si="731"/>
        <v>0.57524271844660191</v>
      </c>
      <c r="P204" s="242">
        <f t="shared" si="731"/>
        <v>0.67153284671532842</v>
      </c>
      <c r="Q204" s="242">
        <f>Q203/Q199</f>
        <v>0.70975609756097557</v>
      </c>
      <c r="R204" s="242">
        <f t="shared" ref="R204:V204" si="732">R203/R199</f>
        <v>0.77176750113096637</v>
      </c>
      <c r="S204" s="242">
        <f t="shared" si="732"/>
        <v>0.75991970624145022</v>
      </c>
      <c r="T204" s="242">
        <f t="shared" si="732"/>
        <v>0.81967347979634353</v>
      </c>
      <c r="U204" s="242">
        <f t="shared" si="732"/>
        <v>0.87731515705700291</v>
      </c>
      <c r="V204" s="242">
        <f t="shared" si="732"/>
        <v>1.0081400252467485</v>
      </c>
      <c r="X204" s="242">
        <f t="shared" ref="X204:AG204" si="733">X203/X199</f>
        <v>1.2543716576741144</v>
      </c>
      <c r="Y204" s="242">
        <f t="shared" si="733"/>
        <v>1.5835625238455646</v>
      </c>
      <c r="Z204" s="242">
        <f t="shared" si="733"/>
        <v>1.9834327087414381</v>
      </c>
      <c r="AA204" s="242">
        <f t="shared" si="733"/>
        <v>2.8647589298767149</v>
      </c>
      <c r="AB204" s="242">
        <f t="shared" si="733"/>
        <v>3.4307764224750987</v>
      </c>
      <c r="AC204" s="242">
        <f t="shared" si="733"/>
        <v>4.3259676807733012</v>
      </c>
      <c r="AD204" s="242">
        <f t="shared" si="733"/>
        <v>5.466853422377973</v>
      </c>
      <c r="AE204" s="242">
        <f t="shared" si="733"/>
        <v>6.8887776305586801</v>
      </c>
      <c r="AF204" s="242">
        <f t="shared" si="733"/>
        <v>8.1682284391050377</v>
      </c>
      <c r="AG204" s="242">
        <f t="shared" si="733"/>
        <v>9.7015410710134606</v>
      </c>
    </row>
    <row r="205" spans="2:33" outlineLevel="1" x14ac:dyDescent="0.2">
      <c r="B205" s="159"/>
      <c r="C205" s="169"/>
      <c r="D205" s="169"/>
      <c r="E205" s="169"/>
      <c r="F205" s="169"/>
      <c r="G205" s="169"/>
      <c r="H205" s="169"/>
      <c r="I205" s="169"/>
      <c r="J205" s="169"/>
      <c r="K205" s="169"/>
      <c r="L205" s="169"/>
      <c r="M205" s="169"/>
      <c r="N205" s="169"/>
      <c r="O205" s="169"/>
      <c r="P205" s="169"/>
      <c r="Q205" s="169"/>
    </row>
    <row r="206" spans="2:33" outlineLevel="1" x14ac:dyDescent="0.2">
      <c r="C206" s="169"/>
      <c r="D206" s="169"/>
      <c r="E206" s="169"/>
      <c r="F206" s="169"/>
      <c r="G206" s="169"/>
      <c r="H206" s="169"/>
      <c r="I206" s="169"/>
      <c r="J206" s="169"/>
      <c r="K206" s="169"/>
      <c r="L206" s="169"/>
      <c r="M206" s="169"/>
      <c r="N206" s="169"/>
      <c r="O206" s="169"/>
      <c r="P206" s="169"/>
      <c r="Q206" s="169"/>
    </row>
    <row r="207" spans="2:33" ht="15" outlineLevel="1" x14ac:dyDescent="0.25">
      <c r="B207" s="208" t="s">
        <v>275</v>
      </c>
      <c r="C207" s="207"/>
      <c r="D207" s="207"/>
      <c r="E207" s="207"/>
      <c r="F207" s="207"/>
      <c r="G207" s="207"/>
      <c r="H207" s="207"/>
      <c r="I207" s="207"/>
      <c r="J207" s="207"/>
      <c r="K207" s="207"/>
      <c r="L207" s="207"/>
      <c r="M207" s="207"/>
      <c r="N207" s="207"/>
      <c r="O207" s="207"/>
      <c r="P207" s="207"/>
      <c r="Q207" s="207"/>
      <c r="R207" s="207"/>
      <c r="S207" s="207"/>
      <c r="T207" s="207"/>
      <c r="U207" s="207"/>
      <c r="V207" s="207"/>
      <c r="X207" s="207"/>
      <c r="Y207" s="207"/>
      <c r="Z207" s="207"/>
      <c r="AA207" s="207"/>
      <c r="AB207" s="207"/>
      <c r="AC207" s="207"/>
      <c r="AD207" s="207"/>
      <c r="AE207" s="207"/>
      <c r="AF207" s="207"/>
      <c r="AG207" s="207"/>
    </row>
    <row r="208" spans="2:33" outlineLevel="1" x14ac:dyDescent="0.2">
      <c r="C208" s="169"/>
      <c r="D208" s="169"/>
      <c r="E208" s="169"/>
      <c r="F208" s="169"/>
      <c r="G208" s="169"/>
      <c r="H208" s="169"/>
      <c r="I208" s="169"/>
      <c r="J208" s="169"/>
      <c r="K208" s="169"/>
      <c r="L208" s="169"/>
      <c r="M208" s="169"/>
      <c r="N208" s="169"/>
      <c r="O208" s="169"/>
      <c r="P208" s="169"/>
      <c r="Q208" s="169"/>
    </row>
    <row r="209" spans="2:33" ht="15" outlineLevel="1" collapsed="1" x14ac:dyDescent="0.25">
      <c r="B209" s="160" t="s">
        <v>152</v>
      </c>
      <c r="C209" s="169"/>
      <c r="D209" s="169"/>
      <c r="E209" s="169"/>
      <c r="F209" s="169"/>
      <c r="G209" s="169"/>
      <c r="H209" s="169"/>
      <c r="I209" s="169"/>
      <c r="J209" s="169"/>
      <c r="K209" s="169"/>
      <c r="L209" s="169"/>
      <c r="M209" s="169"/>
      <c r="N209" s="169"/>
      <c r="O209" s="169"/>
      <c r="P209" s="169"/>
      <c r="Q209" s="169"/>
    </row>
    <row r="210" spans="2:33" outlineLevel="1" x14ac:dyDescent="0.2">
      <c r="B210" s="159" t="s">
        <v>153</v>
      </c>
      <c r="C210" s="169"/>
      <c r="D210" s="169"/>
      <c r="E210" s="169"/>
      <c r="F210" s="169"/>
      <c r="G210" s="169"/>
      <c r="H210" s="169"/>
      <c r="I210" s="169"/>
      <c r="J210" s="169"/>
      <c r="K210" s="169"/>
      <c r="L210" s="169"/>
      <c r="M210" s="169"/>
      <c r="N210" s="169"/>
      <c r="O210" s="169"/>
      <c r="P210" s="169"/>
      <c r="Q210" s="169"/>
    </row>
    <row r="211" spans="2:33" outlineLevel="1" x14ac:dyDescent="0.2">
      <c r="B211" s="159" t="s">
        <v>154</v>
      </c>
      <c r="C211" s="176">
        <v>1238</v>
      </c>
      <c r="D211" s="176">
        <v>715</v>
      </c>
      <c r="E211" s="176">
        <v>724</v>
      </c>
      <c r="F211" s="176">
        <v>720</v>
      </c>
      <c r="G211" s="176">
        <v>520</v>
      </c>
      <c r="H211" s="176">
        <v>537</v>
      </c>
      <c r="I211" s="176">
        <v>453</v>
      </c>
      <c r="J211" s="176">
        <v>791</v>
      </c>
      <c r="K211" s="176">
        <v>537</v>
      </c>
      <c r="L211" s="169">
        <v>535</v>
      </c>
      <c r="M211" s="169">
        <v>424</v>
      </c>
      <c r="N211" s="169">
        <v>610</v>
      </c>
      <c r="O211" s="169">
        <v>533</v>
      </c>
      <c r="P211" s="169">
        <v>752</v>
      </c>
      <c r="Q211" s="176">
        <v>475</v>
      </c>
      <c r="R211" s="169">
        <f>R300</f>
        <v>572.91268657557066</v>
      </c>
      <c r="S211" s="169">
        <f t="shared" ref="S211:V211" si="734">S300</f>
        <v>691.48384446942532</v>
      </c>
      <c r="T211" s="169">
        <f t="shared" si="734"/>
        <v>827.05764267037205</v>
      </c>
      <c r="U211" s="169">
        <f t="shared" si="734"/>
        <v>1027.8971005849587</v>
      </c>
      <c r="V211" s="169">
        <f t="shared" si="734"/>
        <v>1200.5462528056376</v>
      </c>
      <c r="X211" s="169">
        <f>F211</f>
        <v>720</v>
      </c>
      <c r="Y211" s="169">
        <f>J211</f>
        <v>791</v>
      </c>
      <c r="Z211" s="169">
        <f>N211</f>
        <v>610</v>
      </c>
      <c r="AA211" s="169">
        <f>R211</f>
        <v>572.91268657557066</v>
      </c>
      <c r="AB211" s="169">
        <f>V211</f>
        <v>1200.5462528056376</v>
      </c>
      <c r="AC211" s="169">
        <f t="shared" ref="AC211:AG211" si="735">AC300</f>
        <v>2085.6042041508153</v>
      </c>
      <c r="AD211" s="169">
        <f t="shared" si="735"/>
        <v>3418.9680060388437</v>
      </c>
      <c r="AE211" s="169">
        <f t="shared" si="735"/>
        <v>5475.2736761154683</v>
      </c>
      <c r="AF211" s="169">
        <f t="shared" si="735"/>
        <v>8162.9519132364676</v>
      </c>
      <c r="AG211" s="169">
        <f t="shared" si="735"/>
        <v>11489.960740591199</v>
      </c>
    </row>
    <row r="212" spans="2:33" outlineLevel="1" x14ac:dyDescent="0.2">
      <c r="B212" s="159" t="s">
        <v>155</v>
      </c>
      <c r="C212" s="176">
        <v>339</v>
      </c>
      <c r="D212" s="176">
        <v>316</v>
      </c>
      <c r="E212" s="176">
        <v>408</v>
      </c>
      <c r="F212" s="176">
        <v>367</v>
      </c>
      <c r="G212" s="176">
        <v>479</v>
      </c>
      <c r="H212" s="176">
        <v>501</v>
      </c>
      <c r="I212" s="176">
        <v>550</v>
      </c>
      <c r="J212" s="176">
        <v>506</v>
      </c>
      <c r="K212" s="176">
        <v>655</v>
      </c>
      <c r="L212" s="169">
        <v>657</v>
      </c>
      <c r="M212" s="169">
        <v>714</v>
      </c>
      <c r="N212" s="169">
        <v>675</v>
      </c>
      <c r="O212" s="169">
        <v>785</v>
      </c>
      <c r="P212" s="169">
        <v>749</v>
      </c>
      <c r="Q212" s="176">
        <v>757</v>
      </c>
      <c r="R212" s="234">
        <f>R306*R122/90</f>
        <v>784.73270040223179</v>
      </c>
      <c r="S212" s="234">
        <f>S306*S122/90</f>
        <v>795.51431079970575</v>
      </c>
      <c r="T212" s="234">
        <f>T306*T122/90</f>
        <v>820.73211844643401</v>
      </c>
      <c r="U212" s="234">
        <f>U306*U122/90</f>
        <v>826.96675879070983</v>
      </c>
      <c r="V212" s="234">
        <f>V306*V122/90</f>
        <v>879.58741639202458</v>
      </c>
      <c r="X212" s="169">
        <f t="shared" ref="X212:X215" si="736">F212</f>
        <v>367</v>
      </c>
      <c r="Y212" s="169">
        <f t="shared" ref="Y212:Y215" si="737">J212</f>
        <v>506</v>
      </c>
      <c r="Z212" s="169">
        <f t="shared" ref="Z212:Z215" si="738">N212</f>
        <v>675</v>
      </c>
      <c r="AA212" s="169">
        <f t="shared" ref="AA212:AA215" si="739">R212</f>
        <v>784.73270040223179</v>
      </c>
      <c r="AB212" s="169">
        <f t="shared" ref="AB212:AB215" si="740">V212</f>
        <v>879.58741639202458</v>
      </c>
      <c r="AC212" s="234">
        <f>AC306*AC122/365</f>
        <v>1006.7395091079916</v>
      </c>
      <c r="AD212" s="234">
        <f t="shared" ref="AD212:AG212" si="741">AD306*AD122/365</f>
        <v>1093.8793352697317</v>
      </c>
      <c r="AE212" s="234">
        <f t="shared" si="741"/>
        <v>1224.6994436748705</v>
      </c>
      <c r="AF212" s="234">
        <f t="shared" si="741"/>
        <v>1304.5462796528657</v>
      </c>
      <c r="AG212" s="234">
        <f t="shared" si="741"/>
        <v>1396.1612544136215</v>
      </c>
    </row>
    <row r="213" spans="2:33" outlineLevel="1" x14ac:dyDescent="0.2">
      <c r="B213" s="159" t="s">
        <v>156</v>
      </c>
      <c r="C213" s="176">
        <v>96</v>
      </c>
      <c r="D213" s="176">
        <v>100</v>
      </c>
      <c r="E213" s="176">
        <v>57</v>
      </c>
      <c r="F213" s="176">
        <v>53</v>
      </c>
      <c r="G213" s="176">
        <v>50</v>
      </c>
      <c r="H213" s="176">
        <v>49</v>
      </c>
      <c r="I213" s="176">
        <v>50</v>
      </c>
      <c r="J213" s="176">
        <v>31</v>
      </c>
      <c r="K213" s="176">
        <v>16</v>
      </c>
      <c r="L213" s="169">
        <v>14</v>
      </c>
      <c r="M213" s="169">
        <v>13</v>
      </c>
      <c r="N213" s="169">
        <v>17</v>
      </c>
      <c r="O213" s="169">
        <v>18</v>
      </c>
      <c r="P213" s="169">
        <v>19</v>
      </c>
      <c r="Q213" s="176">
        <v>18</v>
      </c>
      <c r="R213" s="234">
        <f>Q213</f>
        <v>18</v>
      </c>
      <c r="S213" s="234">
        <f t="shared" ref="S213:V213" si="742">R213</f>
        <v>18</v>
      </c>
      <c r="T213" s="234">
        <f t="shared" si="742"/>
        <v>18</v>
      </c>
      <c r="U213" s="234">
        <f t="shared" si="742"/>
        <v>18</v>
      </c>
      <c r="V213" s="234">
        <f t="shared" si="742"/>
        <v>18</v>
      </c>
      <c r="X213" s="169">
        <f t="shared" si="736"/>
        <v>53</v>
      </c>
      <c r="Y213" s="169">
        <f t="shared" si="737"/>
        <v>31</v>
      </c>
      <c r="Z213" s="169">
        <f t="shared" si="738"/>
        <v>17</v>
      </c>
      <c r="AA213" s="169">
        <f t="shared" si="739"/>
        <v>18</v>
      </c>
      <c r="AB213" s="169">
        <f t="shared" si="740"/>
        <v>18</v>
      </c>
      <c r="AC213" s="234">
        <f t="shared" ref="AC213:AG213" si="743">AB213</f>
        <v>18</v>
      </c>
      <c r="AD213" s="234">
        <f t="shared" si="743"/>
        <v>18</v>
      </c>
      <c r="AE213" s="234">
        <f t="shared" si="743"/>
        <v>18</v>
      </c>
      <c r="AF213" s="234">
        <f t="shared" si="743"/>
        <v>18</v>
      </c>
      <c r="AG213" s="234">
        <f t="shared" si="743"/>
        <v>18</v>
      </c>
    </row>
    <row r="214" spans="2:33" outlineLevel="1" x14ac:dyDescent="0.2">
      <c r="B214" s="159" t="s">
        <v>157</v>
      </c>
      <c r="C214" s="176">
        <v>1453</v>
      </c>
      <c r="D214" s="176">
        <v>1456</v>
      </c>
      <c r="E214" s="176">
        <v>1420</v>
      </c>
      <c r="F214" s="176">
        <v>1402</v>
      </c>
      <c r="G214" s="176">
        <v>1483</v>
      </c>
      <c r="H214" s="176">
        <v>1563</v>
      </c>
      <c r="I214" s="176">
        <v>1612</v>
      </c>
      <c r="J214" s="176">
        <v>1609</v>
      </c>
      <c r="K214" s="176">
        <v>1662</v>
      </c>
      <c r="L214" s="169">
        <v>1715</v>
      </c>
      <c r="M214" s="169">
        <v>1748</v>
      </c>
      <c r="N214" s="169">
        <v>1765</v>
      </c>
      <c r="O214" s="169">
        <v>1783</v>
      </c>
      <c r="P214" s="169">
        <v>1848</v>
      </c>
      <c r="Q214" s="176">
        <v>1902</v>
      </c>
      <c r="R214" s="234">
        <f>R$174*R307/90</f>
        <v>1979.1388674113618</v>
      </c>
      <c r="S214" s="234">
        <f t="shared" ref="S214:V214" si="744">S$174*S307/90</f>
        <v>2025.4329447831365</v>
      </c>
      <c r="T214" s="234">
        <f t="shared" si="744"/>
        <v>2067.8930921121519</v>
      </c>
      <c r="U214" s="234">
        <f t="shared" si="744"/>
        <v>2048.2768219876411</v>
      </c>
      <c r="V214" s="234">
        <f t="shared" si="744"/>
        <v>2131.5998996384633</v>
      </c>
      <c r="X214" s="169">
        <f t="shared" si="736"/>
        <v>1402</v>
      </c>
      <c r="Y214" s="169">
        <f t="shared" si="737"/>
        <v>1609</v>
      </c>
      <c r="Z214" s="169">
        <f t="shared" si="738"/>
        <v>1765</v>
      </c>
      <c r="AA214" s="169">
        <f t="shared" si="739"/>
        <v>1979.1388674113618</v>
      </c>
      <c r="AB214" s="169">
        <f t="shared" si="740"/>
        <v>2131.5998996384633</v>
      </c>
      <c r="AC214" s="234">
        <f>AC$174*AC307/365</f>
        <v>2395.8085054668231</v>
      </c>
      <c r="AD214" s="234">
        <f t="shared" ref="AD214:AG214" si="745">AD$174*AD307/365</f>
        <v>2564.6798629716063</v>
      </c>
      <c r="AE214" s="234">
        <f t="shared" si="745"/>
        <v>2831.5277018897877</v>
      </c>
      <c r="AF214" s="234">
        <f t="shared" si="745"/>
        <v>2974.6726465913653</v>
      </c>
      <c r="AG214" s="234">
        <f t="shared" si="745"/>
        <v>3135.4997887916606</v>
      </c>
    </row>
    <row r="215" spans="2:33" outlineLevel="1" x14ac:dyDescent="0.2">
      <c r="B215" s="159" t="s">
        <v>158</v>
      </c>
      <c r="C215" s="176">
        <v>202</v>
      </c>
      <c r="D215" s="176">
        <v>212</v>
      </c>
      <c r="E215" s="176">
        <v>211</v>
      </c>
      <c r="F215" s="176">
        <v>195</v>
      </c>
      <c r="G215" s="176">
        <v>250</v>
      </c>
      <c r="H215" s="176">
        <v>187</v>
      </c>
      <c r="I215" s="176">
        <v>181</v>
      </c>
      <c r="J215" s="176">
        <v>206</v>
      </c>
      <c r="K215" s="176">
        <v>187</v>
      </c>
      <c r="L215" s="169">
        <v>207</v>
      </c>
      <c r="M215" s="169">
        <v>212</v>
      </c>
      <c r="N215" s="169">
        <v>249</v>
      </c>
      <c r="O215" s="169">
        <v>221</v>
      </c>
      <c r="P215" s="169">
        <v>235</v>
      </c>
      <c r="Q215" s="176">
        <v>239</v>
      </c>
      <c r="R215" s="234">
        <f>R308*R122</f>
        <v>247.75576670559235</v>
      </c>
      <c r="S215" s="234">
        <f>S308*S122</f>
        <v>251.15973617058083</v>
      </c>
      <c r="T215" s="234">
        <f>T308*T122</f>
        <v>259.1215010682929</v>
      </c>
      <c r="U215" s="234">
        <f>U308*U122</f>
        <v>261.08990138834827</v>
      </c>
      <c r="V215" s="234">
        <f>V308*V122</f>
        <v>277.70329262575149</v>
      </c>
      <c r="X215" s="169">
        <f t="shared" si="736"/>
        <v>195</v>
      </c>
      <c r="Y215" s="169">
        <f t="shared" si="737"/>
        <v>206</v>
      </c>
      <c r="Z215" s="169">
        <f t="shared" si="738"/>
        <v>249</v>
      </c>
      <c r="AA215" s="169">
        <f t="shared" si="739"/>
        <v>247.75576670559235</v>
      </c>
      <c r="AB215" s="169">
        <f t="shared" si="740"/>
        <v>277.70329262575149</v>
      </c>
      <c r="AC215" s="234">
        <f>AC308*AC122</f>
        <v>302.38670255557241</v>
      </c>
      <c r="AD215" s="234">
        <f>AD308*AD122</f>
        <v>310.87347085765219</v>
      </c>
      <c r="AE215" s="234">
        <f>AE308*AE122</f>
        <v>327.17526652866491</v>
      </c>
      <c r="AF215" s="234">
        <f>AF308*AF122</f>
        <v>325.02834784671677</v>
      </c>
      <c r="AG215" s="234">
        <f>AG308*AG122</f>
        <v>321.28607681864889</v>
      </c>
    </row>
    <row r="216" spans="2:33" ht="15" outlineLevel="1" x14ac:dyDescent="0.25">
      <c r="B216" s="163" t="s">
        <v>159</v>
      </c>
      <c r="C216" s="170">
        <f t="shared" ref="C216" si="746">SUM(C211:C215)</f>
        <v>3328</v>
      </c>
      <c r="D216" s="170">
        <f t="shared" ref="D216" si="747">SUM(D211:D215)</f>
        <v>2799</v>
      </c>
      <c r="E216" s="170">
        <f t="shared" ref="E216" si="748">SUM(E211:E215)</f>
        <v>2820</v>
      </c>
      <c r="F216" s="170">
        <f t="shared" ref="F216" si="749">SUM(F211:F215)</f>
        <v>2737</v>
      </c>
      <c r="G216" s="170">
        <f t="shared" ref="G216" si="750">SUM(G211:G215)</f>
        <v>2782</v>
      </c>
      <c r="H216" s="170">
        <f t="shared" ref="H216" si="751">SUM(H211:H215)</f>
        <v>2837</v>
      </c>
      <c r="I216" s="170">
        <f t="shared" ref="I216" si="752">SUM(I211:I215)</f>
        <v>2846</v>
      </c>
      <c r="J216" s="170">
        <f t="shared" ref="J216" si="753">SUM(J211:J215)</f>
        <v>3143</v>
      </c>
      <c r="K216" s="177">
        <v>3057</v>
      </c>
      <c r="L216" s="170">
        <f t="shared" ref="L216:O216" si="754">SUM(L211:L215)</f>
        <v>3128</v>
      </c>
      <c r="M216" s="170">
        <f t="shared" si="754"/>
        <v>3111</v>
      </c>
      <c r="N216" s="170">
        <f t="shared" si="754"/>
        <v>3316</v>
      </c>
      <c r="O216" s="170">
        <f t="shared" si="754"/>
        <v>3340</v>
      </c>
      <c r="P216" s="170">
        <f>SUM(P211:P215)</f>
        <v>3603</v>
      </c>
      <c r="Q216" s="177">
        <f>SUM(Q211:Q215)</f>
        <v>3391</v>
      </c>
      <c r="R216" s="177">
        <f t="shared" ref="R216:V216" si="755">SUM(R211:R215)</f>
        <v>3602.5400210947564</v>
      </c>
      <c r="S216" s="177">
        <f t="shared" si="755"/>
        <v>3781.5908362228483</v>
      </c>
      <c r="T216" s="177">
        <f t="shared" si="755"/>
        <v>3992.8043542972509</v>
      </c>
      <c r="U216" s="177">
        <f t="shared" si="755"/>
        <v>4182.2305827516584</v>
      </c>
      <c r="V216" s="177">
        <f t="shared" si="755"/>
        <v>4507.436861461877</v>
      </c>
      <c r="X216" s="170">
        <f>SUM(X211:X215)</f>
        <v>2737</v>
      </c>
      <c r="Y216" s="170">
        <f t="shared" ref="Y216:AB216" si="756">SUM(Y211:Y215)</f>
        <v>3143</v>
      </c>
      <c r="Z216" s="170">
        <f t="shared" si="756"/>
        <v>3316</v>
      </c>
      <c r="AA216" s="170">
        <f t="shared" si="756"/>
        <v>3602.5400210947564</v>
      </c>
      <c r="AB216" s="170">
        <f t="shared" si="756"/>
        <v>4507.436861461877</v>
      </c>
      <c r="AC216" s="177">
        <f t="shared" ref="AC216:AG216" si="757">SUM(AC211:AC215)</f>
        <v>5808.5389212812033</v>
      </c>
      <c r="AD216" s="177">
        <f t="shared" si="757"/>
        <v>7406.4006751378347</v>
      </c>
      <c r="AE216" s="177">
        <f t="shared" si="757"/>
        <v>9876.676088208791</v>
      </c>
      <c r="AF216" s="177">
        <f t="shared" si="757"/>
        <v>12785.199187327416</v>
      </c>
      <c r="AG216" s="177">
        <f t="shared" si="757"/>
        <v>16360.907860615132</v>
      </c>
    </row>
    <row r="217" spans="2:33" outlineLevel="1" x14ac:dyDescent="0.2">
      <c r="B217" s="159"/>
      <c r="C217" s="176"/>
      <c r="D217" s="176"/>
      <c r="E217" s="176"/>
      <c r="F217" s="176"/>
      <c r="G217" s="176"/>
      <c r="H217" s="176"/>
      <c r="I217" s="176"/>
      <c r="J217" s="176"/>
      <c r="K217" s="176"/>
      <c r="L217" s="169"/>
      <c r="M217" s="169"/>
      <c r="N217" s="169"/>
      <c r="O217" s="169"/>
      <c r="P217" s="169"/>
      <c r="Q217" s="176"/>
      <c r="X217" s="169"/>
      <c r="Y217" s="169"/>
      <c r="Z217" s="169"/>
      <c r="AA217" s="169"/>
      <c r="AB217" s="169"/>
    </row>
    <row r="218" spans="2:33" outlineLevel="1" x14ac:dyDescent="0.2">
      <c r="B218" s="159" t="s">
        <v>160</v>
      </c>
      <c r="C218" s="176">
        <v>2524</v>
      </c>
      <c r="D218" s="176">
        <v>2515</v>
      </c>
      <c r="E218" s="176">
        <v>2483</v>
      </c>
      <c r="F218" s="176">
        <v>2467</v>
      </c>
      <c r="G218" s="176">
        <v>2400</v>
      </c>
      <c r="H218" s="176">
        <v>2340</v>
      </c>
      <c r="I218" s="176">
        <v>2288</v>
      </c>
      <c r="J218" s="176">
        <v>2332</v>
      </c>
      <c r="K218" s="176">
        <v>2321</v>
      </c>
      <c r="L218" s="169">
        <v>2319</v>
      </c>
      <c r="M218" s="169">
        <v>2296</v>
      </c>
      <c r="N218" s="169">
        <v>2328</v>
      </c>
      <c r="O218" s="169">
        <v>2294</v>
      </c>
      <c r="P218" s="169">
        <v>2307</v>
      </c>
      <c r="Q218" s="176">
        <v>2358</v>
      </c>
      <c r="R218" s="169">
        <f>Q218-R292-R184</f>
        <v>2376.4261872518491</v>
      </c>
      <c r="S218" s="169">
        <f>R218-S292-S184</f>
        <v>2395.1055358310628</v>
      </c>
      <c r="T218" s="169">
        <f>S218-T292-T184</f>
        <v>2414.3770198540287</v>
      </c>
      <c r="U218" s="169">
        <f>T218-U292-U184</f>
        <v>2433.7948985033086</v>
      </c>
      <c r="V218" s="169">
        <f>U218-V292-V184</f>
        <v>2454.4483546808096</v>
      </c>
      <c r="X218" s="169">
        <f t="shared" ref="X218:X222" si="758">F218</f>
        <v>2467</v>
      </c>
      <c r="Y218" s="169">
        <f t="shared" ref="Y218:Y222" si="759">J218</f>
        <v>2332</v>
      </c>
      <c r="Z218" s="169">
        <f t="shared" ref="Z218:Z222" si="760">N218</f>
        <v>2328</v>
      </c>
      <c r="AA218" s="169">
        <f t="shared" ref="AA218:AA222" si="761">R218</f>
        <v>2376.4261872518491</v>
      </c>
      <c r="AB218" s="169">
        <f t="shared" ref="AB218:AB222" si="762">V218</f>
        <v>2454.4483546808096</v>
      </c>
      <c r="AC218" s="169">
        <f>AB218-AC292-AC184</f>
        <v>2359.8862069279921</v>
      </c>
      <c r="AD218" s="169">
        <f>AC218-AD292-AD184</f>
        <v>2307.1556823330366</v>
      </c>
      <c r="AE218" s="169">
        <f>AD218-AE292-AE184</f>
        <v>2246.5172792238272</v>
      </c>
      <c r="AF218" s="169">
        <f>AE218-AF292-AF184</f>
        <v>2180.1241604564143</v>
      </c>
      <c r="AG218" s="169">
        <f>AF218-AG292-AG184</f>
        <v>2107.0300511104738</v>
      </c>
    </row>
    <row r="219" spans="2:33" outlineLevel="1" x14ac:dyDescent="0.2">
      <c r="B219" s="159" t="s">
        <v>161</v>
      </c>
      <c r="C219" s="176">
        <v>4086</v>
      </c>
      <c r="D219" s="176">
        <v>4090</v>
      </c>
      <c r="E219" s="176">
        <v>4077</v>
      </c>
      <c r="F219" s="176">
        <v>4067</v>
      </c>
      <c r="G219" s="176">
        <v>4053</v>
      </c>
      <c r="H219" s="176">
        <v>4012</v>
      </c>
      <c r="I219" s="176">
        <v>3965</v>
      </c>
      <c r="J219" s="176">
        <v>4013</v>
      </c>
      <c r="K219" s="176">
        <v>4024</v>
      </c>
      <c r="L219" s="169">
        <v>4026</v>
      </c>
      <c r="M219" s="169">
        <v>4007</v>
      </c>
      <c r="N219" s="169">
        <v>4035</v>
      </c>
      <c r="O219" s="169">
        <v>4020</v>
      </c>
      <c r="P219" s="169">
        <v>4016</v>
      </c>
      <c r="Q219" s="176">
        <v>4047</v>
      </c>
      <c r="R219" s="234">
        <f>Q219</f>
        <v>4047</v>
      </c>
      <c r="S219" s="234">
        <f t="shared" ref="S219:V221" si="763">R219</f>
        <v>4047</v>
      </c>
      <c r="T219" s="234">
        <f t="shared" si="763"/>
        <v>4047</v>
      </c>
      <c r="U219" s="234">
        <f t="shared" si="763"/>
        <v>4047</v>
      </c>
      <c r="V219" s="234">
        <f t="shared" si="763"/>
        <v>4047</v>
      </c>
      <c r="X219" s="169">
        <f t="shared" si="758"/>
        <v>4067</v>
      </c>
      <c r="Y219" s="169">
        <f t="shared" si="759"/>
        <v>4013</v>
      </c>
      <c r="Z219" s="169">
        <f t="shared" si="760"/>
        <v>4035</v>
      </c>
      <c r="AA219" s="169">
        <f t="shared" si="761"/>
        <v>4047</v>
      </c>
      <c r="AB219" s="169">
        <f t="shared" si="762"/>
        <v>4047</v>
      </c>
      <c r="AC219" s="234">
        <f t="shared" ref="AC219:AG222" si="764">AB219</f>
        <v>4047</v>
      </c>
      <c r="AD219" s="234">
        <f t="shared" si="764"/>
        <v>4047</v>
      </c>
      <c r="AE219" s="234">
        <f t="shared" si="764"/>
        <v>4047</v>
      </c>
      <c r="AF219" s="234">
        <f t="shared" si="764"/>
        <v>4047</v>
      </c>
      <c r="AG219" s="234">
        <f t="shared" si="764"/>
        <v>4047</v>
      </c>
    </row>
    <row r="220" spans="2:33" outlineLevel="1" x14ac:dyDescent="0.2">
      <c r="B220" s="159" t="s">
        <v>117</v>
      </c>
      <c r="C220" s="176">
        <v>227</v>
      </c>
      <c r="D220" s="176">
        <v>188</v>
      </c>
      <c r="E220" s="176">
        <v>202</v>
      </c>
      <c r="F220" s="176">
        <v>184</v>
      </c>
      <c r="G220" s="176">
        <v>149</v>
      </c>
      <c r="H220" s="176">
        <v>118</v>
      </c>
      <c r="I220" s="176">
        <v>106</v>
      </c>
      <c r="J220" s="176">
        <v>54</v>
      </c>
      <c r="K220" s="176">
        <v>59</v>
      </c>
      <c r="L220" s="169">
        <v>52</v>
      </c>
      <c r="M220" s="169">
        <v>45</v>
      </c>
      <c r="N220" s="169">
        <v>46</v>
      </c>
      <c r="O220" s="169">
        <v>38</v>
      </c>
      <c r="P220" s="169">
        <v>32</v>
      </c>
      <c r="Q220" s="176">
        <v>39</v>
      </c>
      <c r="R220" s="234">
        <f>Q220</f>
        <v>39</v>
      </c>
      <c r="S220" s="234">
        <f t="shared" si="763"/>
        <v>39</v>
      </c>
      <c r="T220" s="234">
        <f t="shared" si="763"/>
        <v>39</v>
      </c>
      <c r="U220" s="234">
        <f t="shared" si="763"/>
        <v>39</v>
      </c>
      <c r="V220" s="234">
        <f t="shared" si="763"/>
        <v>39</v>
      </c>
      <c r="X220" s="169">
        <f t="shared" si="758"/>
        <v>184</v>
      </c>
      <c r="Y220" s="169">
        <f t="shared" si="759"/>
        <v>54</v>
      </c>
      <c r="Z220" s="169">
        <f t="shared" si="760"/>
        <v>46</v>
      </c>
      <c r="AA220" s="169">
        <f t="shared" si="761"/>
        <v>39</v>
      </c>
      <c r="AB220" s="169">
        <f t="shared" si="762"/>
        <v>39</v>
      </c>
      <c r="AC220" s="234">
        <f t="shared" si="764"/>
        <v>39</v>
      </c>
      <c r="AD220" s="234">
        <f t="shared" si="764"/>
        <v>39</v>
      </c>
      <c r="AE220" s="234">
        <f t="shared" si="764"/>
        <v>39</v>
      </c>
      <c r="AF220" s="234">
        <f t="shared" si="764"/>
        <v>39</v>
      </c>
      <c r="AG220" s="234">
        <f t="shared" si="764"/>
        <v>39</v>
      </c>
    </row>
    <row r="221" spans="2:33" outlineLevel="1" x14ac:dyDescent="0.2">
      <c r="B221" s="159" t="s">
        <v>162</v>
      </c>
      <c r="C221" s="176">
        <v>563</v>
      </c>
      <c r="D221" s="176">
        <v>557</v>
      </c>
      <c r="E221" s="176">
        <v>554</v>
      </c>
      <c r="F221" s="176">
        <v>549</v>
      </c>
      <c r="G221" s="176">
        <v>543</v>
      </c>
      <c r="H221" s="176">
        <v>534</v>
      </c>
      <c r="I221" s="176">
        <v>523</v>
      </c>
      <c r="J221" s="176">
        <v>521</v>
      </c>
      <c r="K221" s="176">
        <v>518</v>
      </c>
      <c r="L221" s="169">
        <v>513</v>
      </c>
      <c r="M221" s="169">
        <v>507</v>
      </c>
      <c r="N221" s="169">
        <v>505</v>
      </c>
      <c r="O221" s="169">
        <v>498</v>
      </c>
      <c r="P221" s="169">
        <v>489</v>
      </c>
      <c r="Q221" s="176">
        <v>484</v>
      </c>
      <c r="R221" s="234">
        <f>Q221</f>
        <v>484</v>
      </c>
      <c r="S221" s="234">
        <f t="shared" si="763"/>
        <v>484</v>
      </c>
      <c r="T221" s="234">
        <f t="shared" si="763"/>
        <v>484</v>
      </c>
      <c r="U221" s="234">
        <f t="shared" si="763"/>
        <v>484</v>
      </c>
      <c r="V221" s="234">
        <f t="shared" si="763"/>
        <v>484</v>
      </c>
      <c r="X221" s="169">
        <f t="shared" si="758"/>
        <v>549</v>
      </c>
      <c r="Y221" s="169">
        <f t="shared" si="759"/>
        <v>521</v>
      </c>
      <c r="Z221" s="169">
        <f t="shared" si="760"/>
        <v>505</v>
      </c>
      <c r="AA221" s="169">
        <f t="shared" si="761"/>
        <v>484</v>
      </c>
      <c r="AB221" s="169">
        <f t="shared" si="762"/>
        <v>484</v>
      </c>
      <c r="AC221" s="234">
        <f t="shared" si="764"/>
        <v>484</v>
      </c>
      <c r="AD221" s="234">
        <f t="shared" si="764"/>
        <v>484</v>
      </c>
      <c r="AE221" s="234">
        <f t="shared" si="764"/>
        <v>484</v>
      </c>
      <c r="AF221" s="234">
        <f t="shared" si="764"/>
        <v>484</v>
      </c>
      <c r="AG221" s="234">
        <f t="shared" si="764"/>
        <v>484</v>
      </c>
    </row>
    <row r="222" spans="2:33" outlineLevel="1" x14ac:dyDescent="0.2">
      <c r="B222" s="159" t="s">
        <v>163</v>
      </c>
      <c r="C222" s="176">
        <v>243</v>
      </c>
      <c r="D222" s="176">
        <v>230</v>
      </c>
      <c r="E222" s="176">
        <v>221</v>
      </c>
      <c r="F222" s="176">
        <v>215</v>
      </c>
      <c r="G222" s="176">
        <v>202</v>
      </c>
      <c r="H222" s="176">
        <v>211</v>
      </c>
      <c r="I222" s="176">
        <v>201</v>
      </c>
      <c r="J222" s="176">
        <v>192</v>
      </c>
      <c r="K222" s="176">
        <v>195</v>
      </c>
      <c r="L222" s="169">
        <v>195</v>
      </c>
      <c r="M222" s="169">
        <v>200</v>
      </c>
      <c r="N222" s="169">
        <v>198</v>
      </c>
      <c r="O222" s="169">
        <v>220</v>
      </c>
      <c r="P222" s="169">
        <v>232</v>
      </c>
      <c r="Q222" s="176">
        <v>239</v>
      </c>
      <c r="R222" s="234">
        <f>Q222</f>
        <v>239</v>
      </c>
      <c r="S222" s="234">
        <f t="shared" ref="S222:V222" si="765">R222</f>
        <v>239</v>
      </c>
      <c r="T222" s="234">
        <f t="shared" si="765"/>
        <v>239</v>
      </c>
      <c r="U222" s="234">
        <f t="shared" si="765"/>
        <v>239</v>
      </c>
      <c r="V222" s="234">
        <f t="shared" si="765"/>
        <v>239</v>
      </c>
      <c r="X222" s="169">
        <f t="shared" si="758"/>
        <v>215</v>
      </c>
      <c r="Y222" s="169">
        <f t="shared" si="759"/>
        <v>192</v>
      </c>
      <c r="Z222" s="169">
        <f t="shared" si="760"/>
        <v>198</v>
      </c>
      <c r="AA222" s="169">
        <f t="shared" si="761"/>
        <v>239</v>
      </c>
      <c r="AB222" s="169">
        <f t="shared" si="762"/>
        <v>239</v>
      </c>
      <c r="AC222" s="234">
        <f t="shared" si="764"/>
        <v>239</v>
      </c>
      <c r="AD222" s="234">
        <f t="shared" si="764"/>
        <v>239</v>
      </c>
      <c r="AE222" s="234">
        <f t="shared" si="764"/>
        <v>239</v>
      </c>
      <c r="AF222" s="234">
        <f t="shared" si="764"/>
        <v>239</v>
      </c>
      <c r="AG222" s="234">
        <f t="shared" si="764"/>
        <v>239</v>
      </c>
    </row>
    <row r="223" spans="2:33" ht="15" outlineLevel="1" x14ac:dyDescent="0.25">
      <c r="B223" s="165" t="s">
        <v>164</v>
      </c>
      <c r="C223" s="170">
        <f t="shared" ref="C223:J223" si="766">SUM(C218:C222)+C216</f>
        <v>10971</v>
      </c>
      <c r="D223" s="170">
        <f t="shared" si="766"/>
        <v>10379</v>
      </c>
      <c r="E223" s="170">
        <f t="shared" si="766"/>
        <v>10357</v>
      </c>
      <c r="F223" s="170">
        <f t="shared" si="766"/>
        <v>10219</v>
      </c>
      <c r="G223" s="170">
        <f t="shared" si="766"/>
        <v>10129</v>
      </c>
      <c r="H223" s="170">
        <f t="shared" si="766"/>
        <v>10052</v>
      </c>
      <c r="I223" s="170">
        <f t="shared" si="766"/>
        <v>9929</v>
      </c>
      <c r="J223" s="170">
        <f t="shared" si="766"/>
        <v>10255</v>
      </c>
      <c r="K223" s="170">
        <f t="shared" ref="K223:Q223" si="767">SUM(K218:K222)+K216</f>
        <v>10174</v>
      </c>
      <c r="L223" s="170">
        <f t="shared" si="767"/>
        <v>10233</v>
      </c>
      <c r="M223" s="170">
        <f t="shared" si="767"/>
        <v>10166</v>
      </c>
      <c r="N223" s="170">
        <f t="shared" si="767"/>
        <v>10428</v>
      </c>
      <c r="O223" s="170">
        <f t="shared" si="767"/>
        <v>10410</v>
      </c>
      <c r="P223" s="170">
        <f t="shared" si="767"/>
        <v>10679</v>
      </c>
      <c r="Q223" s="177">
        <f t="shared" si="767"/>
        <v>10558</v>
      </c>
      <c r="R223" s="177">
        <f t="shared" ref="R223:X223" si="768">SUM(R218:R222)+R216</f>
        <v>10787.966208346606</v>
      </c>
      <c r="S223" s="177">
        <f t="shared" si="768"/>
        <v>10985.69637205391</v>
      </c>
      <c r="T223" s="177">
        <f t="shared" si="768"/>
        <v>11216.18137415128</v>
      </c>
      <c r="U223" s="177">
        <f t="shared" si="768"/>
        <v>11425.025481254968</v>
      </c>
      <c r="V223" s="177">
        <f t="shared" si="768"/>
        <v>11770.885216142688</v>
      </c>
      <c r="X223" s="177">
        <f t="shared" si="768"/>
        <v>10219</v>
      </c>
      <c r="Y223" s="177">
        <f t="shared" ref="Y223:AG223" si="769">SUM(Y218:Y222)+Y216</f>
        <v>10255</v>
      </c>
      <c r="Z223" s="177">
        <f t="shared" si="769"/>
        <v>10428</v>
      </c>
      <c r="AA223" s="177">
        <f t="shared" si="769"/>
        <v>10787.966208346606</v>
      </c>
      <c r="AB223" s="177">
        <f t="shared" si="769"/>
        <v>11770.885216142688</v>
      </c>
      <c r="AC223" s="177">
        <f t="shared" si="769"/>
        <v>12977.425128209195</v>
      </c>
      <c r="AD223" s="177">
        <f t="shared" si="769"/>
        <v>14522.556357470872</v>
      </c>
      <c r="AE223" s="177">
        <f t="shared" si="769"/>
        <v>16932.193367432617</v>
      </c>
      <c r="AF223" s="177">
        <f t="shared" si="769"/>
        <v>19774.323347783829</v>
      </c>
      <c r="AG223" s="177">
        <f t="shared" si="769"/>
        <v>23276.937911725607</v>
      </c>
    </row>
    <row r="224" spans="2:33" outlineLevel="1" x14ac:dyDescent="0.2">
      <c r="B224" s="159"/>
      <c r="C224" s="169"/>
      <c r="D224" s="169"/>
      <c r="E224" s="169"/>
      <c r="F224" s="169"/>
      <c r="G224" s="169"/>
      <c r="H224" s="169"/>
      <c r="I224" s="169"/>
      <c r="J224" s="169"/>
      <c r="K224" s="169"/>
      <c r="L224" s="169"/>
      <c r="M224" s="169"/>
      <c r="N224" s="169"/>
      <c r="O224" s="169"/>
      <c r="P224" s="169"/>
      <c r="Q224" s="169"/>
      <c r="X224" s="169"/>
      <c r="Y224" s="169"/>
      <c r="Z224" s="169"/>
      <c r="AA224" s="169"/>
      <c r="AB224" s="169"/>
    </row>
    <row r="225" spans="2:33" ht="15" outlineLevel="1" x14ac:dyDescent="0.25">
      <c r="B225" s="160" t="s">
        <v>165</v>
      </c>
      <c r="C225" s="169"/>
      <c r="D225" s="169"/>
      <c r="E225" s="169"/>
      <c r="F225" s="169"/>
      <c r="G225" s="169"/>
      <c r="H225" s="169"/>
      <c r="I225" s="169"/>
      <c r="J225" s="169"/>
      <c r="K225" s="169"/>
      <c r="L225" s="169"/>
      <c r="M225" s="169"/>
      <c r="N225" s="169"/>
      <c r="O225" s="169"/>
      <c r="P225" s="169"/>
      <c r="Q225" s="169"/>
      <c r="X225" s="169"/>
      <c r="Y225" s="169"/>
      <c r="Z225" s="169"/>
      <c r="AA225" s="169"/>
      <c r="AB225" s="169"/>
    </row>
    <row r="226" spans="2:33" outlineLevel="1" x14ac:dyDescent="0.2">
      <c r="B226" s="159" t="s">
        <v>166</v>
      </c>
      <c r="C226" s="169"/>
      <c r="D226" s="169"/>
      <c r="E226" s="169"/>
      <c r="F226" s="169"/>
      <c r="G226" s="169"/>
      <c r="H226" s="169"/>
      <c r="I226" s="169"/>
      <c r="J226" s="169"/>
      <c r="K226" s="169"/>
      <c r="L226" s="169"/>
      <c r="M226" s="169"/>
      <c r="N226" s="169"/>
      <c r="O226" s="169"/>
      <c r="P226" s="169"/>
      <c r="Q226" s="169"/>
      <c r="X226" s="169"/>
      <c r="Y226" s="169"/>
      <c r="Z226" s="169"/>
      <c r="AA226" s="169"/>
      <c r="AB226" s="169"/>
    </row>
    <row r="227" spans="2:33" outlineLevel="1" x14ac:dyDescent="0.2">
      <c r="B227" s="159" t="s">
        <v>167</v>
      </c>
      <c r="C227" s="176">
        <v>596</v>
      </c>
      <c r="D227" s="176">
        <v>632</v>
      </c>
      <c r="E227" s="176">
        <v>646</v>
      </c>
      <c r="F227" s="176">
        <v>732</v>
      </c>
      <c r="G227" s="176">
        <v>777</v>
      </c>
      <c r="H227" s="176">
        <v>814</v>
      </c>
      <c r="I227" s="176">
        <v>812</v>
      </c>
      <c r="J227" s="176">
        <v>962</v>
      </c>
      <c r="K227" s="176">
        <v>877</v>
      </c>
      <c r="L227" s="169">
        <v>881</v>
      </c>
      <c r="M227" s="169">
        <v>894</v>
      </c>
      <c r="N227" s="169">
        <v>982</v>
      </c>
      <c r="O227" s="169">
        <v>964</v>
      </c>
      <c r="P227" s="169">
        <v>971</v>
      </c>
      <c r="Q227" s="176">
        <v>917</v>
      </c>
      <c r="R227" s="234">
        <f>R174*R311/90</f>
        <v>954.19050547645566</v>
      </c>
      <c r="S227" s="234">
        <f>S174*S311/90</f>
        <v>976.509994934877</v>
      </c>
      <c r="T227" s="234">
        <f>T174*T311/90</f>
        <v>996.98105439897108</v>
      </c>
      <c r="U227" s="234">
        <f>U174*U311/90</f>
        <v>987.52357821381008</v>
      </c>
      <c r="V227" s="234">
        <f>V174*V311/90</f>
        <v>1027.695640361972</v>
      </c>
      <c r="X227" s="169">
        <f t="shared" ref="X227:X232" si="770">F227</f>
        <v>732</v>
      </c>
      <c r="Y227" s="169">
        <f t="shared" ref="Y227:Y232" si="771">J227</f>
        <v>962</v>
      </c>
      <c r="Z227" s="169">
        <f t="shared" ref="Z227:Z232" si="772">N227</f>
        <v>982</v>
      </c>
      <c r="AA227" s="169">
        <f t="shared" ref="AA227:AA232" si="773">R227</f>
        <v>954.19050547645566</v>
      </c>
      <c r="AB227" s="169">
        <f t="shared" ref="AB227:AB232" si="774">V227</f>
        <v>1027.695640361972</v>
      </c>
      <c r="AC227" s="234">
        <f>AC174*AC311/365</f>
        <v>1188.5112320875387</v>
      </c>
      <c r="AD227" s="234">
        <f t="shared" ref="AD227:AG227" si="775">AD174*AD311/365</f>
        <v>1309.107536478288</v>
      </c>
      <c r="AE227" s="234">
        <f t="shared" si="775"/>
        <v>1487.1596798724527</v>
      </c>
      <c r="AF227" s="234">
        <f t="shared" si="775"/>
        <v>1607.6048223188657</v>
      </c>
      <c r="AG227" s="234">
        <f t="shared" si="775"/>
        <v>1743.6688569108824</v>
      </c>
    </row>
    <row r="228" spans="2:33" outlineLevel="1" x14ac:dyDescent="0.2">
      <c r="B228" s="159" t="s">
        <v>168</v>
      </c>
      <c r="C228" s="176">
        <v>171</v>
      </c>
      <c r="D228" s="176">
        <v>195</v>
      </c>
      <c r="E228" s="176">
        <v>202</v>
      </c>
      <c r="F228" s="176">
        <v>198</v>
      </c>
      <c r="G228" s="176">
        <v>172</v>
      </c>
      <c r="H228" s="176">
        <v>198</v>
      </c>
      <c r="I228" s="176">
        <v>204</v>
      </c>
      <c r="J228" s="176">
        <v>195</v>
      </c>
      <c r="K228" s="176">
        <v>193</v>
      </c>
      <c r="L228" s="169">
        <v>209</v>
      </c>
      <c r="M228" s="169">
        <v>240</v>
      </c>
      <c r="N228" s="169">
        <v>263</v>
      </c>
      <c r="O228" s="169">
        <v>201</v>
      </c>
      <c r="P228" s="169">
        <v>235</v>
      </c>
      <c r="Q228" s="176">
        <v>288</v>
      </c>
      <c r="R228" s="234">
        <f t="shared" ref="R228:V229" si="776">R312*R$122</f>
        <v>298.55088205527449</v>
      </c>
      <c r="S228" s="234">
        <f t="shared" si="776"/>
        <v>302.65273647333589</v>
      </c>
      <c r="T228" s="234">
        <f t="shared" si="776"/>
        <v>312.24682973919818</v>
      </c>
      <c r="U228" s="234">
        <f t="shared" si="776"/>
        <v>314.61879330478791</v>
      </c>
      <c r="V228" s="234">
        <f t="shared" si="776"/>
        <v>334.63827730634495</v>
      </c>
      <c r="X228" s="169">
        <f t="shared" si="770"/>
        <v>198</v>
      </c>
      <c r="Y228" s="169">
        <f t="shared" si="771"/>
        <v>195</v>
      </c>
      <c r="Z228" s="169">
        <f t="shared" si="772"/>
        <v>263</v>
      </c>
      <c r="AA228" s="169">
        <f t="shared" si="773"/>
        <v>298.55088205527449</v>
      </c>
      <c r="AB228" s="169">
        <f t="shared" si="774"/>
        <v>334.63827730634495</v>
      </c>
      <c r="AC228" s="234">
        <f t="shared" ref="AC228:AG229" si="777">AC312*AC$122</f>
        <v>392.86964424354693</v>
      </c>
      <c r="AD228" s="234">
        <f t="shared" si="777"/>
        <v>438.15042129854004</v>
      </c>
      <c r="AE228" s="234">
        <f t="shared" si="777"/>
        <v>503.85885733654419</v>
      </c>
      <c r="AF228" s="234">
        <f t="shared" si="777"/>
        <v>551.67615309575001</v>
      </c>
      <c r="AG228" s="234">
        <f t="shared" si="777"/>
        <v>607.35627135082905</v>
      </c>
    </row>
    <row r="229" spans="2:33" outlineLevel="1" x14ac:dyDescent="0.2">
      <c r="B229" s="159" t="s">
        <v>169</v>
      </c>
      <c r="C229" s="176">
        <v>93</v>
      </c>
      <c r="D229" s="176">
        <v>80</v>
      </c>
      <c r="E229" s="176">
        <v>77</v>
      </c>
      <c r="F229" s="176">
        <v>61</v>
      </c>
      <c r="G229" s="176">
        <v>63</v>
      </c>
      <c r="H229" s="176">
        <v>58</v>
      </c>
      <c r="I229" s="176">
        <v>56</v>
      </c>
      <c r="J229" s="176">
        <v>48</v>
      </c>
      <c r="K229" s="176">
        <v>64</v>
      </c>
      <c r="L229" s="169">
        <v>78</v>
      </c>
      <c r="M229" s="169">
        <v>73</v>
      </c>
      <c r="N229" s="169">
        <v>68</v>
      </c>
      <c r="O229" s="169">
        <v>84</v>
      </c>
      <c r="P229" s="169">
        <v>81</v>
      </c>
      <c r="Q229" s="176">
        <v>59</v>
      </c>
      <c r="R229" s="234">
        <f t="shared" si="776"/>
        <v>61.161465421045811</v>
      </c>
      <c r="S229" s="234">
        <f t="shared" si="776"/>
        <v>62.001775874745903</v>
      </c>
      <c r="T229" s="234">
        <f t="shared" si="776"/>
        <v>63.967232481294069</v>
      </c>
      <c r="U229" s="234">
        <f t="shared" si="776"/>
        <v>64.453155572855849</v>
      </c>
      <c r="V229" s="234">
        <f t="shared" si="776"/>
        <v>68.554369309285946</v>
      </c>
      <c r="X229" s="169">
        <f t="shared" si="770"/>
        <v>61</v>
      </c>
      <c r="Y229" s="169">
        <f t="shared" si="771"/>
        <v>48</v>
      </c>
      <c r="Z229" s="169">
        <f t="shared" si="772"/>
        <v>68</v>
      </c>
      <c r="AA229" s="169">
        <f t="shared" si="773"/>
        <v>61.161465421045811</v>
      </c>
      <c r="AB229" s="169">
        <f t="shared" si="774"/>
        <v>68.554369309285946</v>
      </c>
      <c r="AC229" s="234">
        <f t="shared" si="777"/>
        <v>80.483711841559952</v>
      </c>
      <c r="AD229" s="234">
        <f t="shared" si="777"/>
        <v>89.759982141020359</v>
      </c>
      <c r="AE229" s="234">
        <f t="shared" si="777"/>
        <v>103.22108535713926</v>
      </c>
      <c r="AF229" s="234">
        <f t="shared" si="777"/>
        <v>113.01698969669879</v>
      </c>
      <c r="AG229" s="234">
        <f t="shared" si="777"/>
        <v>124.42368058923233</v>
      </c>
    </row>
    <row r="230" spans="2:33" outlineLevel="1" x14ac:dyDescent="0.2">
      <c r="B230" s="159" t="s">
        <v>170</v>
      </c>
      <c r="C230" s="176">
        <v>88</v>
      </c>
      <c r="D230" s="176">
        <v>75</v>
      </c>
      <c r="E230" s="176">
        <v>68</v>
      </c>
      <c r="F230" s="176">
        <v>74</v>
      </c>
      <c r="G230" s="176">
        <v>69</v>
      </c>
      <c r="H230" s="176">
        <v>75</v>
      </c>
      <c r="I230" s="176">
        <v>68</v>
      </c>
      <c r="J230" s="176">
        <v>75</v>
      </c>
      <c r="K230" s="176">
        <v>63</v>
      </c>
      <c r="L230" s="169">
        <v>73</v>
      </c>
      <c r="M230" s="169">
        <v>58</v>
      </c>
      <c r="N230" s="169">
        <v>65</v>
      </c>
      <c r="O230" s="169">
        <v>45</v>
      </c>
      <c r="P230" s="169">
        <v>64</v>
      </c>
      <c r="Q230" s="176">
        <v>25</v>
      </c>
      <c r="R230" s="234">
        <f>Q230</f>
        <v>25</v>
      </c>
      <c r="S230" s="234">
        <f t="shared" ref="S230:V230" si="778">R230</f>
        <v>25</v>
      </c>
      <c r="T230" s="234">
        <f t="shared" si="778"/>
        <v>25</v>
      </c>
      <c r="U230" s="234">
        <f t="shared" si="778"/>
        <v>25</v>
      </c>
      <c r="V230" s="234">
        <f t="shared" si="778"/>
        <v>25</v>
      </c>
      <c r="X230" s="169">
        <f t="shared" si="770"/>
        <v>74</v>
      </c>
      <c r="Y230" s="169">
        <f t="shared" si="771"/>
        <v>75</v>
      </c>
      <c r="Z230" s="169">
        <f t="shared" si="772"/>
        <v>65</v>
      </c>
      <c r="AA230" s="169">
        <f t="shared" si="773"/>
        <v>25</v>
      </c>
      <c r="AB230" s="169">
        <f t="shared" si="774"/>
        <v>25</v>
      </c>
      <c r="AC230" s="234">
        <f t="shared" ref="AC230:AG230" si="779">AB230</f>
        <v>25</v>
      </c>
      <c r="AD230" s="234">
        <f t="shared" si="779"/>
        <v>25</v>
      </c>
      <c r="AE230" s="234">
        <f t="shared" si="779"/>
        <v>25</v>
      </c>
      <c r="AF230" s="234">
        <f t="shared" si="779"/>
        <v>25</v>
      </c>
      <c r="AG230" s="234">
        <f t="shared" si="779"/>
        <v>25</v>
      </c>
    </row>
    <row r="231" spans="2:33" outlineLevel="1" x14ac:dyDescent="0.2">
      <c r="B231" s="159" t="s">
        <v>171</v>
      </c>
      <c r="C231" s="176">
        <v>243</v>
      </c>
      <c r="D231" s="176">
        <v>232</v>
      </c>
      <c r="E231" s="176">
        <v>201</v>
      </c>
      <c r="F231" s="176">
        <v>183</v>
      </c>
      <c r="G231" s="176">
        <v>171</v>
      </c>
      <c r="H231" s="176">
        <v>176</v>
      </c>
      <c r="I231" s="176">
        <v>240</v>
      </c>
      <c r="J231" s="176">
        <v>202</v>
      </c>
      <c r="K231" s="176">
        <v>206</v>
      </c>
      <c r="L231" s="169">
        <v>169</v>
      </c>
      <c r="M231" s="169">
        <v>189</v>
      </c>
      <c r="N231" s="169">
        <v>200</v>
      </c>
      <c r="O231" s="169">
        <v>198</v>
      </c>
      <c r="P231" s="169">
        <v>225</v>
      </c>
      <c r="Q231" s="176">
        <v>227</v>
      </c>
      <c r="R231" s="234">
        <f>R314*R$122</f>
        <v>235.31614661995587</v>
      </c>
      <c r="S231" s="234">
        <f t="shared" ref="S231:V231" si="780">S314*S$122</f>
        <v>238.54920548419182</v>
      </c>
      <c r="T231" s="234">
        <f t="shared" si="780"/>
        <v>246.11121649582631</v>
      </c>
      <c r="U231" s="234">
        <f t="shared" si="780"/>
        <v>247.98078500064875</v>
      </c>
      <c r="V231" s="234">
        <f t="shared" si="780"/>
        <v>263.76003107132044</v>
      </c>
      <c r="X231" s="169">
        <f t="shared" si="770"/>
        <v>183</v>
      </c>
      <c r="Y231" s="169">
        <f t="shared" si="771"/>
        <v>202</v>
      </c>
      <c r="Z231" s="169">
        <f t="shared" si="772"/>
        <v>200</v>
      </c>
      <c r="AA231" s="169">
        <f t="shared" si="773"/>
        <v>235.31614661995587</v>
      </c>
      <c r="AB231" s="169">
        <f t="shared" si="774"/>
        <v>263.76003107132044</v>
      </c>
      <c r="AC231" s="234">
        <f t="shared" ref="AC231:AG231" si="781">AC314*AC$122</f>
        <v>297.8400652081765</v>
      </c>
      <c r="AD231" s="234">
        <f t="shared" si="781"/>
        <v>332.16806633614243</v>
      </c>
      <c r="AE231" s="234">
        <f t="shared" si="781"/>
        <v>381.98256628807627</v>
      </c>
      <c r="AF231" s="234">
        <f t="shared" si="781"/>
        <v>418.23353832340035</v>
      </c>
      <c r="AG231" s="234">
        <f t="shared" si="781"/>
        <v>460.44542792821574</v>
      </c>
    </row>
    <row r="232" spans="2:33" outlineLevel="1" x14ac:dyDescent="0.2">
      <c r="B232" s="159" t="s">
        <v>172</v>
      </c>
      <c r="C232" s="169">
        <v>489</v>
      </c>
      <c r="D232" s="169">
        <v>13</v>
      </c>
      <c r="E232" s="169">
        <v>14</v>
      </c>
      <c r="F232" s="169">
        <v>5</v>
      </c>
      <c r="G232" s="169">
        <v>3</v>
      </c>
      <c r="H232" s="169">
        <v>1</v>
      </c>
      <c r="I232" s="169">
        <v>1</v>
      </c>
      <c r="J232" s="169">
        <v>0</v>
      </c>
      <c r="K232" s="169"/>
      <c r="L232" s="169"/>
      <c r="M232" s="169">
        <v>0</v>
      </c>
      <c r="N232" s="169">
        <v>206</v>
      </c>
      <c r="O232" s="169">
        <v>206</v>
      </c>
      <c r="P232" s="169">
        <v>782</v>
      </c>
      <c r="Q232" s="176">
        <v>1</v>
      </c>
      <c r="R232" s="234"/>
      <c r="S232" s="234"/>
      <c r="T232" s="234"/>
      <c r="U232" s="234"/>
      <c r="V232" s="234"/>
      <c r="X232" s="169">
        <f t="shared" si="770"/>
        <v>5</v>
      </c>
      <c r="Y232" s="169">
        <f t="shared" si="771"/>
        <v>0</v>
      </c>
      <c r="Z232" s="169">
        <f t="shared" si="772"/>
        <v>206</v>
      </c>
      <c r="AA232" s="169">
        <f t="shared" si="773"/>
        <v>0</v>
      </c>
      <c r="AB232" s="169">
        <f t="shared" si="774"/>
        <v>0</v>
      </c>
      <c r="AC232" s="234"/>
      <c r="AD232" s="234"/>
      <c r="AE232" s="234"/>
      <c r="AF232" s="234"/>
      <c r="AG232" s="234"/>
    </row>
    <row r="233" spans="2:33" ht="15" outlineLevel="1" x14ac:dyDescent="0.25">
      <c r="B233" s="165" t="s">
        <v>173</v>
      </c>
      <c r="C233" s="177">
        <f t="shared" ref="C233:J233" si="782">SUM(C227:C232)</f>
        <v>1680</v>
      </c>
      <c r="D233" s="177">
        <f t="shared" si="782"/>
        <v>1227</v>
      </c>
      <c r="E233" s="177">
        <f t="shared" si="782"/>
        <v>1208</v>
      </c>
      <c r="F233" s="177">
        <f t="shared" si="782"/>
        <v>1253</v>
      </c>
      <c r="G233" s="177">
        <f t="shared" si="782"/>
        <v>1255</v>
      </c>
      <c r="H233" s="177">
        <f t="shared" si="782"/>
        <v>1322</v>
      </c>
      <c r="I233" s="177">
        <f t="shared" si="782"/>
        <v>1381</v>
      </c>
      <c r="J233" s="177">
        <f t="shared" si="782"/>
        <v>1482</v>
      </c>
      <c r="K233" s="177">
        <f>SUM(K227:K232)</f>
        <v>1403</v>
      </c>
      <c r="L233" s="177">
        <f t="shared" ref="L233:O233" si="783">SUM(L227:L232)</f>
        <v>1410</v>
      </c>
      <c r="M233" s="177">
        <f t="shared" si="783"/>
        <v>1454</v>
      </c>
      <c r="N233" s="177">
        <f t="shared" si="783"/>
        <v>1784</v>
      </c>
      <c r="O233" s="177">
        <f t="shared" si="783"/>
        <v>1698</v>
      </c>
      <c r="P233" s="177">
        <f>SUM(P227:P232)</f>
        <v>2358</v>
      </c>
      <c r="Q233" s="177">
        <f>SUM(Q227:Q232)</f>
        <v>1517</v>
      </c>
      <c r="R233" s="177">
        <f t="shared" ref="R233:X233" si="784">SUM(R227:R232)</f>
        <v>1574.2189995727317</v>
      </c>
      <c r="S233" s="177">
        <f t="shared" si="784"/>
        <v>1604.7137127671506</v>
      </c>
      <c r="T233" s="177">
        <f t="shared" si="784"/>
        <v>1644.3063331152896</v>
      </c>
      <c r="U233" s="177">
        <f t="shared" si="784"/>
        <v>1639.5763120921024</v>
      </c>
      <c r="V233" s="177">
        <f t="shared" si="784"/>
        <v>1719.6483180489231</v>
      </c>
      <c r="X233" s="177">
        <f t="shared" si="784"/>
        <v>1253</v>
      </c>
      <c r="Y233" s="177">
        <f t="shared" ref="Y233:AG233" si="785">SUM(Y227:Y232)</f>
        <v>1482</v>
      </c>
      <c r="Z233" s="177">
        <f t="shared" si="785"/>
        <v>1784</v>
      </c>
      <c r="AA233" s="177">
        <f t="shared" si="785"/>
        <v>1574.2189995727317</v>
      </c>
      <c r="AB233" s="177">
        <f t="shared" si="785"/>
        <v>1719.6483180489231</v>
      </c>
      <c r="AC233" s="177">
        <f t="shared" si="785"/>
        <v>1984.704653380822</v>
      </c>
      <c r="AD233" s="177">
        <f t="shared" si="785"/>
        <v>2194.1860062539909</v>
      </c>
      <c r="AE233" s="177">
        <f t="shared" si="785"/>
        <v>2501.2221888542122</v>
      </c>
      <c r="AF233" s="177">
        <f t="shared" si="785"/>
        <v>2715.5315034347145</v>
      </c>
      <c r="AG233" s="177">
        <f t="shared" si="785"/>
        <v>2960.8942367791597</v>
      </c>
    </row>
    <row r="234" spans="2:33" outlineLevel="1" x14ac:dyDescent="0.2">
      <c r="B234" s="159"/>
      <c r="C234" s="169"/>
      <c r="D234" s="169"/>
      <c r="E234" s="169"/>
      <c r="F234" s="169"/>
      <c r="G234" s="169"/>
      <c r="H234" s="169"/>
      <c r="I234" s="169"/>
      <c r="J234" s="169"/>
      <c r="K234" s="169"/>
      <c r="L234" s="169"/>
      <c r="M234" s="169"/>
      <c r="N234" s="169"/>
      <c r="O234" s="169"/>
      <c r="P234" s="169"/>
      <c r="Q234" s="176"/>
      <c r="X234" s="169"/>
      <c r="Y234" s="169"/>
      <c r="Z234" s="169"/>
      <c r="AA234" s="169"/>
      <c r="AB234" s="169"/>
    </row>
    <row r="235" spans="2:33" outlineLevel="1" x14ac:dyDescent="0.2">
      <c r="B235" s="159" t="s">
        <v>174</v>
      </c>
      <c r="C235" s="176">
        <v>4224</v>
      </c>
      <c r="D235" s="176">
        <v>4227</v>
      </c>
      <c r="E235" s="176">
        <v>4272</v>
      </c>
      <c r="F235" s="176">
        <v>4227</v>
      </c>
      <c r="G235" s="176">
        <v>4228</v>
      </c>
      <c r="H235" s="176">
        <v>4169</v>
      </c>
      <c r="I235" s="176">
        <v>4170</v>
      </c>
      <c r="J235" s="176">
        <v>4162</v>
      </c>
      <c r="K235" s="176">
        <v>3988</v>
      </c>
      <c r="L235" s="169">
        <v>3989</v>
      </c>
      <c r="M235" s="169">
        <v>3794</v>
      </c>
      <c r="N235" s="169">
        <v>3500</v>
      </c>
      <c r="O235" s="169">
        <v>3486</v>
      </c>
      <c r="P235" s="169">
        <v>2877</v>
      </c>
      <c r="Q235" s="176">
        <v>3393</v>
      </c>
      <c r="R235" s="234">
        <f t="shared" ref="R235:V235" si="786">Q235</f>
        <v>3393</v>
      </c>
      <c r="S235" s="234">
        <f t="shared" si="786"/>
        <v>3393</v>
      </c>
      <c r="T235" s="234">
        <f t="shared" si="786"/>
        <v>3393</v>
      </c>
      <c r="U235" s="234">
        <f t="shared" si="786"/>
        <v>3393</v>
      </c>
      <c r="V235" s="234">
        <f t="shared" si="786"/>
        <v>3393</v>
      </c>
      <c r="X235" s="169">
        <f t="shared" ref="X235:X238" si="787">F235</f>
        <v>4227</v>
      </c>
      <c r="Y235" s="169">
        <f t="shared" ref="Y235:Y238" si="788">J235</f>
        <v>4162</v>
      </c>
      <c r="Z235" s="169">
        <f t="shared" ref="Z235:Z238" si="789">N235</f>
        <v>3500</v>
      </c>
      <c r="AA235" s="169">
        <f t="shared" ref="AA235:AA238" si="790">R235</f>
        <v>3393</v>
      </c>
      <c r="AB235" s="169">
        <f t="shared" ref="AB235:AB238" si="791">V235</f>
        <v>3393</v>
      </c>
      <c r="AC235" s="234">
        <f t="shared" ref="AC235:AG238" si="792">AB235</f>
        <v>3393</v>
      </c>
      <c r="AD235" s="234">
        <f t="shared" si="792"/>
        <v>3393</v>
      </c>
      <c r="AE235" s="234">
        <f t="shared" si="792"/>
        <v>3393</v>
      </c>
      <c r="AF235" s="234">
        <f t="shared" si="792"/>
        <v>3393</v>
      </c>
      <c r="AG235" s="234">
        <f t="shared" si="792"/>
        <v>3393</v>
      </c>
    </row>
    <row r="236" spans="2:33" outlineLevel="1" x14ac:dyDescent="0.2">
      <c r="B236" s="159" t="s">
        <v>175</v>
      </c>
      <c r="C236" s="176">
        <v>941</v>
      </c>
      <c r="D236" s="176">
        <v>868</v>
      </c>
      <c r="E236" s="176">
        <v>847</v>
      </c>
      <c r="F236" s="176">
        <v>771</v>
      </c>
      <c r="G236" s="176">
        <v>746</v>
      </c>
      <c r="H236" s="176">
        <v>710</v>
      </c>
      <c r="I236" s="176">
        <v>689</v>
      </c>
      <c r="J236" s="176">
        <v>633</v>
      </c>
      <c r="K236" s="176">
        <v>625</v>
      </c>
      <c r="L236" s="169">
        <v>626</v>
      </c>
      <c r="M236" s="169">
        <v>618</v>
      </c>
      <c r="N236" s="169">
        <v>664</v>
      </c>
      <c r="O236" s="169">
        <v>662</v>
      </c>
      <c r="P236" s="169">
        <v>645</v>
      </c>
      <c r="Q236" s="176">
        <v>629</v>
      </c>
      <c r="R236" s="234">
        <f t="shared" ref="R236:V236" si="793">Q236</f>
        <v>629</v>
      </c>
      <c r="S236" s="234">
        <f t="shared" si="793"/>
        <v>629</v>
      </c>
      <c r="T236" s="234">
        <f t="shared" si="793"/>
        <v>629</v>
      </c>
      <c r="U236" s="234">
        <f t="shared" si="793"/>
        <v>629</v>
      </c>
      <c r="V236" s="234">
        <f t="shared" si="793"/>
        <v>629</v>
      </c>
      <c r="X236" s="169">
        <f t="shared" si="787"/>
        <v>771</v>
      </c>
      <c r="Y236" s="169">
        <f t="shared" si="788"/>
        <v>633</v>
      </c>
      <c r="Z236" s="169">
        <f t="shared" si="789"/>
        <v>664</v>
      </c>
      <c r="AA236" s="169">
        <f t="shared" si="790"/>
        <v>629</v>
      </c>
      <c r="AB236" s="169">
        <f t="shared" si="791"/>
        <v>629</v>
      </c>
      <c r="AC236" s="234">
        <f t="shared" si="792"/>
        <v>629</v>
      </c>
      <c r="AD236" s="234">
        <f t="shared" si="792"/>
        <v>629</v>
      </c>
      <c r="AE236" s="234">
        <f t="shared" si="792"/>
        <v>629</v>
      </c>
      <c r="AF236" s="234">
        <f t="shared" si="792"/>
        <v>629</v>
      </c>
      <c r="AG236" s="234">
        <f t="shared" si="792"/>
        <v>629</v>
      </c>
    </row>
    <row r="237" spans="2:33" outlineLevel="1" x14ac:dyDescent="0.2">
      <c r="B237" s="159" t="s">
        <v>176</v>
      </c>
      <c r="C237" s="176">
        <v>159</v>
      </c>
      <c r="D237" s="176">
        <v>156</v>
      </c>
      <c r="E237" s="176">
        <v>154</v>
      </c>
      <c r="F237" s="176">
        <v>153</v>
      </c>
      <c r="G237" s="176">
        <v>152</v>
      </c>
      <c r="H237" s="176">
        <v>150</v>
      </c>
      <c r="I237" s="176">
        <v>147</v>
      </c>
      <c r="J237" s="176">
        <v>109</v>
      </c>
      <c r="K237" s="176">
        <v>108</v>
      </c>
      <c r="L237" s="169">
        <v>106</v>
      </c>
      <c r="M237" s="169">
        <v>98</v>
      </c>
      <c r="N237" s="169">
        <v>92</v>
      </c>
      <c r="O237" s="169">
        <v>91</v>
      </c>
      <c r="P237" s="169">
        <v>90</v>
      </c>
      <c r="Q237" s="176">
        <v>84</v>
      </c>
      <c r="R237" s="234">
        <f t="shared" ref="R237:V237" si="794">Q237</f>
        <v>84</v>
      </c>
      <c r="S237" s="234">
        <f t="shared" si="794"/>
        <v>84</v>
      </c>
      <c r="T237" s="234">
        <f t="shared" si="794"/>
        <v>84</v>
      </c>
      <c r="U237" s="234">
        <f t="shared" si="794"/>
        <v>84</v>
      </c>
      <c r="V237" s="234">
        <f t="shared" si="794"/>
        <v>84</v>
      </c>
      <c r="X237" s="169">
        <f t="shared" si="787"/>
        <v>153</v>
      </c>
      <c r="Y237" s="169">
        <f t="shared" si="788"/>
        <v>109</v>
      </c>
      <c r="Z237" s="169">
        <f t="shared" si="789"/>
        <v>92</v>
      </c>
      <c r="AA237" s="169">
        <f t="shared" si="790"/>
        <v>84</v>
      </c>
      <c r="AB237" s="169">
        <f t="shared" si="791"/>
        <v>84</v>
      </c>
      <c r="AC237" s="234">
        <f t="shared" si="792"/>
        <v>84</v>
      </c>
      <c r="AD237" s="234">
        <f t="shared" si="792"/>
        <v>84</v>
      </c>
      <c r="AE237" s="234">
        <f t="shared" si="792"/>
        <v>84</v>
      </c>
      <c r="AF237" s="234">
        <f t="shared" si="792"/>
        <v>84</v>
      </c>
      <c r="AG237" s="234">
        <f t="shared" si="792"/>
        <v>84</v>
      </c>
    </row>
    <row r="238" spans="2:33" outlineLevel="1" x14ac:dyDescent="0.2">
      <c r="B238" s="159" t="s">
        <v>177</v>
      </c>
      <c r="C238" s="176">
        <v>305</v>
      </c>
      <c r="D238" s="176">
        <v>303</v>
      </c>
      <c r="E238" s="176">
        <v>297</v>
      </c>
      <c r="F238" s="176">
        <v>307</v>
      </c>
      <c r="G238" s="176">
        <v>291</v>
      </c>
      <c r="H238" s="176">
        <v>280</v>
      </c>
      <c r="I238" s="176">
        <v>269</v>
      </c>
      <c r="J238" s="176">
        <v>268</v>
      </c>
      <c r="K238" s="176">
        <v>289</v>
      </c>
      <c r="L238" s="169">
        <v>327</v>
      </c>
      <c r="M238" s="169">
        <v>330</v>
      </c>
      <c r="N238" s="169">
        <v>351</v>
      </c>
      <c r="O238" s="169">
        <v>387</v>
      </c>
      <c r="P238" s="169">
        <v>432</v>
      </c>
      <c r="Q238" s="176">
        <v>432</v>
      </c>
      <c r="R238" s="234">
        <f t="shared" ref="R238:V238" si="795">Q238</f>
        <v>432</v>
      </c>
      <c r="S238" s="234">
        <f t="shared" si="795"/>
        <v>432</v>
      </c>
      <c r="T238" s="234">
        <f t="shared" si="795"/>
        <v>432</v>
      </c>
      <c r="U238" s="234">
        <f t="shared" si="795"/>
        <v>432</v>
      </c>
      <c r="V238" s="234">
        <f t="shared" si="795"/>
        <v>432</v>
      </c>
      <c r="X238" s="169">
        <f t="shared" si="787"/>
        <v>307</v>
      </c>
      <c r="Y238" s="169">
        <f t="shared" si="788"/>
        <v>268</v>
      </c>
      <c r="Z238" s="169">
        <f t="shared" si="789"/>
        <v>351</v>
      </c>
      <c r="AA238" s="169">
        <f t="shared" si="790"/>
        <v>432</v>
      </c>
      <c r="AB238" s="169">
        <f t="shared" si="791"/>
        <v>432</v>
      </c>
      <c r="AC238" s="234">
        <f t="shared" si="792"/>
        <v>432</v>
      </c>
      <c r="AD238" s="234">
        <f t="shared" si="792"/>
        <v>432</v>
      </c>
      <c r="AE238" s="234">
        <f t="shared" si="792"/>
        <v>432</v>
      </c>
      <c r="AF238" s="234">
        <f t="shared" si="792"/>
        <v>432</v>
      </c>
      <c r="AG238" s="234">
        <f t="shared" si="792"/>
        <v>432</v>
      </c>
    </row>
    <row r="239" spans="2:33" ht="15" outlineLevel="1" x14ac:dyDescent="0.25">
      <c r="B239" s="163" t="s">
        <v>178</v>
      </c>
      <c r="C239" s="177">
        <f t="shared" ref="C239" si="796">SUM(C235:C238)+C233</f>
        <v>7309</v>
      </c>
      <c r="D239" s="177">
        <f t="shared" ref="D239" si="797">SUM(D235:D238)+D233</f>
        <v>6781</v>
      </c>
      <c r="E239" s="177">
        <f t="shared" ref="E239" si="798">SUM(E235:E238)+E233</f>
        <v>6778</v>
      </c>
      <c r="F239" s="177">
        <f t="shared" ref="F239" si="799">SUM(F235:F238)+F233</f>
        <v>6711</v>
      </c>
      <c r="G239" s="177">
        <f t="shared" ref="G239" si="800">SUM(G235:G238)+G233</f>
        <v>6672</v>
      </c>
      <c r="H239" s="177">
        <f t="shared" ref="H239" si="801">SUM(H235:H238)+H233</f>
        <v>6631</v>
      </c>
      <c r="I239" s="177">
        <f t="shared" ref="I239" si="802">SUM(I235:I238)+I233</f>
        <v>6656</v>
      </c>
      <c r="J239" s="177">
        <f t="shared" ref="J239" si="803">SUM(J235:J238)+J233</f>
        <v>6654</v>
      </c>
      <c r="K239" s="177">
        <f t="shared" ref="K239" si="804">SUM(K235:K238)+K233</f>
        <v>6413</v>
      </c>
      <c r="L239" s="177">
        <f t="shared" ref="L239:O239" si="805">SUM(L235:L238)+L233</f>
        <v>6458</v>
      </c>
      <c r="M239" s="177">
        <f t="shared" si="805"/>
        <v>6294</v>
      </c>
      <c r="N239" s="177">
        <f t="shared" si="805"/>
        <v>6391</v>
      </c>
      <c r="O239" s="177">
        <f t="shared" si="805"/>
        <v>6324</v>
      </c>
      <c r="P239" s="177">
        <f>SUM(P235:P238)+P233</f>
        <v>6402</v>
      </c>
      <c r="Q239" s="177">
        <f>SUM(Q235:Q238)+Q233</f>
        <v>6055</v>
      </c>
      <c r="R239" s="177">
        <f t="shared" ref="R239:X239" si="806">SUM(R235:R238)+R233</f>
        <v>6112.2189995727313</v>
      </c>
      <c r="S239" s="177">
        <f t="shared" si="806"/>
        <v>6142.7137127671504</v>
      </c>
      <c r="T239" s="177">
        <f t="shared" si="806"/>
        <v>6182.3063331152898</v>
      </c>
      <c r="U239" s="177">
        <f t="shared" si="806"/>
        <v>6177.5763120921019</v>
      </c>
      <c r="V239" s="177">
        <f t="shared" si="806"/>
        <v>6257.6483180489231</v>
      </c>
      <c r="X239" s="177">
        <f t="shared" si="806"/>
        <v>6711</v>
      </c>
      <c r="Y239" s="177">
        <f t="shared" ref="Y239:AG239" si="807">SUM(Y235:Y238)+Y233</f>
        <v>6654</v>
      </c>
      <c r="Z239" s="177">
        <f t="shared" si="807"/>
        <v>6391</v>
      </c>
      <c r="AA239" s="177">
        <f t="shared" si="807"/>
        <v>6112.2189995727313</v>
      </c>
      <c r="AB239" s="177">
        <f t="shared" si="807"/>
        <v>6257.6483180489231</v>
      </c>
      <c r="AC239" s="177">
        <f t="shared" si="807"/>
        <v>6522.7046533808225</v>
      </c>
      <c r="AD239" s="177">
        <f t="shared" si="807"/>
        <v>6732.1860062539909</v>
      </c>
      <c r="AE239" s="177">
        <f t="shared" si="807"/>
        <v>7039.2221888542117</v>
      </c>
      <c r="AF239" s="177">
        <f t="shared" si="807"/>
        <v>7253.531503434715</v>
      </c>
      <c r="AG239" s="177">
        <f t="shared" si="807"/>
        <v>7498.8942367791597</v>
      </c>
    </row>
    <row r="240" spans="2:33" outlineLevel="1" x14ac:dyDescent="0.2">
      <c r="B240" s="159"/>
      <c r="C240" s="169"/>
      <c r="D240" s="169"/>
      <c r="E240" s="169"/>
      <c r="F240" s="169"/>
      <c r="G240" s="169"/>
      <c r="H240" s="169"/>
      <c r="I240" s="169"/>
      <c r="J240" s="169"/>
      <c r="K240" s="169"/>
      <c r="L240" s="169"/>
      <c r="M240" s="169"/>
      <c r="N240" s="169"/>
      <c r="O240" s="169"/>
      <c r="P240" s="169"/>
      <c r="Q240" s="169"/>
      <c r="X240" s="169"/>
      <c r="Y240" s="169"/>
      <c r="Z240" s="169"/>
      <c r="AA240" s="169"/>
      <c r="AB240" s="169"/>
    </row>
    <row r="241" spans="2:33" ht="15" outlineLevel="1" x14ac:dyDescent="0.25">
      <c r="B241" s="160" t="s">
        <v>179</v>
      </c>
      <c r="C241" s="169"/>
      <c r="D241" s="169"/>
      <c r="E241" s="169"/>
      <c r="F241" s="169"/>
      <c r="G241" s="169"/>
      <c r="H241" s="169"/>
      <c r="I241" s="169"/>
      <c r="J241" s="169"/>
      <c r="K241" s="169"/>
      <c r="L241" s="169"/>
      <c r="M241" s="169"/>
      <c r="N241" s="169"/>
      <c r="O241" s="169"/>
      <c r="P241" s="169"/>
      <c r="Q241" s="169"/>
      <c r="R241" s="169"/>
      <c r="S241" s="169"/>
      <c r="T241" s="169"/>
      <c r="U241" s="169"/>
      <c r="V241" s="169"/>
      <c r="X241" s="169"/>
      <c r="Y241" s="169"/>
      <c r="Z241" s="169"/>
      <c r="AA241" s="169"/>
      <c r="AB241" s="169"/>
      <c r="AC241" s="169"/>
      <c r="AD241" s="169"/>
      <c r="AE241" s="169"/>
      <c r="AF241" s="169"/>
      <c r="AG241" s="169"/>
    </row>
    <row r="242" spans="2:33" outlineLevel="1" x14ac:dyDescent="0.2">
      <c r="B242" s="159" t="s">
        <v>180</v>
      </c>
      <c r="C242" s="169"/>
      <c r="D242" s="169"/>
      <c r="E242" s="169"/>
      <c r="F242" s="169"/>
      <c r="G242" s="169"/>
      <c r="H242" s="169"/>
      <c r="I242" s="169"/>
      <c r="J242" s="169"/>
      <c r="K242" s="169"/>
      <c r="L242" s="169"/>
      <c r="M242" s="169"/>
      <c r="N242" s="169"/>
      <c r="O242" s="169"/>
      <c r="P242" s="169"/>
      <c r="Q242" s="169"/>
      <c r="X242" s="169"/>
      <c r="Y242" s="169"/>
      <c r="Z242" s="169"/>
      <c r="AA242" s="169"/>
      <c r="AB242" s="169"/>
    </row>
    <row r="243" spans="2:33" outlineLevel="1" x14ac:dyDescent="0.2">
      <c r="B243" s="159" t="s">
        <v>181</v>
      </c>
      <c r="C243" s="176">
        <v>55</v>
      </c>
      <c r="D243" s="176">
        <v>55</v>
      </c>
      <c r="E243" s="176">
        <v>55</v>
      </c>
      <c r="F243" s="176">
        <v>55</v>
      </c>
      <c r="G243" s="176">
        <v>55</v>
      </c>
      <c r="H243" s="176">
        <v>55</v>
      </c>
      <c r="I243" s="176">
        <v>55</v>
      </c>
      <c r="J243" s="176">
        <v>55</v>
      </c>
      <c r="K243" s="176">
        <v>55</v>
      </c>
      <c r="L243" s="169">
        <v>55</v>
      </c>
      <c r="M243" s="169">
        <v>55</v>
      </c>
      <c r="N243" s="169">
        <v>55</v>
      </c>
      <c r="O243" s="169">
        <v>55</v>
      </c>
      <c r="P243" s="169">
        <v>55</v>
      </c>
      <c r="Q243" s="176">
        <v>55</v>
      </c>
      <c r="R243" s="234">
        <f>Q243</f>
        <v>55</v>
      </c>
      <c r="S243" s="234">
        <f t="shared" ref="S243:V245" si="808">R243</f>
        <v>55</v>
      </c>
      <c r="T243" s="234">
        <f t="shared" si="808"/>
        <v>55</v>
      </c>
      <c r="U243" s="234">
        <f t="shared" si="808"/>
        <v>55</v>
      </c>
      <c r="V243" s="234">
        <f t="shared" si="808"/>
        <v>55</v>
      </c>
      <c r="X243" s="169">
        <f t="shared" ref="X243:X248" si="809">F243</f>
        <v>55</v>
      </c>
      <c r="Y243" s="169">
        <f t="shared" ref="Y243:Y248" si="810">J243</f>
        <v>55</v>
      </c>
      <c r="Z243" s="169">
        <f t="shared" ref="Z243:Z248" si="811">N243</f>
        <v>55</v>
      </c>
      <c r="AA243" s="169">
        <f t="shared" ref="AA243:AA248" si="812">R243</f>
        <v>55</v>
      </c>
      <c r="AB243" s="169">
        <f t="shared" ref="AB243:AB248" si="813">V243</f>
        <v>55</v>
      </c>
      <c r="AC243" s="234">
        <f t="shared" ref="AC243:AG245" si="814">AB243</f>
        <v>55</v>
      </c>
      <c r="AD243" s="234">
        <f t="shared" si="814"/>
        <v>55</v>
      </c>
      <c r="AE243" s="234">
        <f t="shared" si="814"/>
        <v>55</v>
      </c>
      <c r="AF243" s="234">
        <f t="shared" si="814"/>
        <v>55</v>
      </c>
      <c r="AG243" s="234">
        <f t="shared" si="814"/>
        <v>55</v>
      </c>
    </row>
    <row r="244" spans="2:33" outlineLevel="1" x14ac:dyDescent="0.2">
      <c r="B244" s="159" t="s">
        <v>182</v>
      </c>
      <c r="C244" s="176">
        <v>434</v>
      </c>
      <c r="D244" s="176">
        <v>429</v>
      </c>
      <c r="E244" s="176">
        <v>428</v>
      </c>
      <c r="F244" s="176">
        <v>422</v>
      </c>
      <c r="G244" s="176">
        <v>418</v>
      </c>
      <c r="H244" s="176">
        <v>416</v>
      </c>
      <c r="I244" s="176">
        <v>414</v>
      </c>
      <c r="J244" s="176">
        <v>412</v>
      </c>
      <c r="K244" s="176">
        <v>412</v>
      </c>
      <c r="L244" s="169">
        <v>412</v>
      </c>
      <c r="M244" s="169">
        <v>412</v>
      </c>
      <c r="N244" s="169">
        <v>410</v>
      </c>
      <c r="O244" s="169">
        <v>408</v>
      </c>
      <c r="P244" s="169">
        <v>408</v>
      </c>
      <c r="Q244" s="176">
        <v>407</v>
      </c>
      <c r="R244" s="234">
        <f>Q244</f>
        <v>407</v>
      </c>
      <c r="S244" s="234">
        <f t="shared" si="808"/>
        <v>407</v>
      </c>
      <c r="T244" s="234">
        <f t="shared" si="808"/>
        <v>407</v>
      </c>
      <c r="U244" s="234">
        <f t="shared" si="808"/>
        <v>407</v>
      </c>
      <c r="V244" s="234">
        <f t="shared" si="808"/>
        <v>407</v>
      </c>
      <c r="X244" s="169">
        <f t="shared" si="809"/>
        <v>422</v>
      </c>
      <c r="Y244" s="169">
        <f t="shared" si="810"/>
        <v>412</v>
      </c>
      <c r="Z244" s="169">
        <f t="shared" si="811"/>
        <v>410</v>
      </c>
      <c r="AA244" s="169">
        <f t="shared" si="812"/>
        <v>407</v>
      </c>
      <c r="AB244" s="169">
        <f t="shared" si="813"/>
        <v>407</v>
      </c>
      <c r="AC244" s="234">
        <f t="shared" si="814"/>
        <v>407</v>
      </c>
      <c r="AD244" s="234">
        <f t="shared" si="814"/>
        <v>407</v>
      </c>
      <c r="AE244" s="234">
        <f t="shared" si="814"/>
        <v>407</v>
      </c>
      <c r="AF244" s="234">
        <f t="shared" si="814"/>
        <v>407</v>
      </c>
      <c r="AG244" s="234">
        <f t="shared" si="814"/>
        <v>407</v>
      </c>
    </row>
    <row r="245" spans="2:33" outlineLevel="1" x14ac:dyDescent="0.2">
      <c r="B245" s="159" t="s">
        <v>183</v>
      </c>
      <c r="C245" s="176">
        <v>4671</v>
      </c>
      <c r="D245" s="176">
        <v>4481</v>
      </c>
      <c r="E245" s="176">
        <v>4473</v>
      </c>
      <c r="F245" s="176">
        <v>4291</v>
      </c>
      <c r="G245" s="176">
        <v>4123</v>
      </c>
      <c r="H245" s="176">
        <v>4079</v>
      </c>
      <c r="I245" s="176">
        <v>3998</v>
      </c>
      <c r="J245" s="176">
        <v>3947</v>
      </c>
      <c r="K245" s="176">
        <v>3941</v>
      </c>
      <c r="L245" s="169">
        <v>3782</v>
      </c>
      <c r="M245" s="169">
        <v>3770</v>
      </c>
      <c r="N245" s="169">
        <v>3682</v>
      </c>
      <c r="O245" s="169">
        <v>3542</v>
      </c>
      <c r="P245" s="169">
        <v>3486</v>
      </c>
      <c r="Q245" s="176">
        <v>3386</v>
      </c>
      <c r="R245" s="234">
        <f>Q245</f>
        <v>3386</v>
      </c>
      <c r="S245" s="234">
        <f t="shared" si="808"/>
        <v>3386</v>
      </c>
      <c r="T245" s="234">
        <f t="shared" si="808"/>
        <v>3386</v>
      </c>
      <c r="U245" s="234">
        <f t="shared" si="808"/>
        <v>3386</v>
      </c>
      <c r="V245" s="234">
        <f t="shared" si="808"/>
        <v>3386</v>
      </c>
      <c r="X245" s="169">
        <f t="shared" si="809"/>
        <v>4291</v>
      </c>
      <c r="Y245" s="169">
        <f t="shared" si="810"/>
        <v>3947</v>
      </c>
      <c r="Z245" s="169">
        <f t="shared" si="811"/>
        <v>3682</v>
      </c>
      <c r="AA245" s="169">
        <f t="shared" si="812"/>
        <v>3386</v>
      </c>
      <c r="AB245" s="169">
        <f t="shared" si="813"/>
        <v>3386</v>
      </c>
      <c r="AC245" s="234">
        <f t="shared" si="814"/>
        <v>3386</v>
      </c>
      <c r="AD245" s="234">
        <f t="shared" si="814"/>
        <v>3386</v>
      </c>
      <c r="AE245" s="234">
        <f t="shared" si="814"/>
        <v>3386</v>
      </c>
      <c r="AF245" s="234">
        <f t="shared" si="814"/>
        <v>3386</v>
      </c>
      <c r="AG245" s="234">
        <f t="shared" si="814"/>
        <v>3386</v>
      </c>
    </row>
    <row r="246" spans="2:33" outlineLevel="1" x14ac:dyDescent="0.2">
      <c r="B246" s="159" t="s">
        <v>184</v>
      </c>
      <c r="C246" s="176">
        <v>443</v>
      </c>
      <c r="D246" s="176">
        <v>517</v>
      </c>
      <c r="E246" s="176">
        <v>534</v>
      </c>
      <c r="F246" s="176">
        <v>603</v>
      </c>
      <c r="G246" s="176">
        <v>725</v>
      </c>
      <c r="H246" s="176">
        <v>863</v>
      </c>
      <c r="I246" s="176">
        <v>917</v>
      </c>
      <c r="J246" s="176">
        <v>1028</v>
      </c>
      <c r="K246" s="176">
        <v>1159</v>
      </c>
      <c r="L246" s="169">
        <v>1334</v>
      </c>
      <c r="M246" s="169">
        <v>1485</v>
      </c>
      <c r="N246" s="169">
        <v>1720</v>
      </c>
      <c r="O246" s="169">
        <v>1942</v>
      </c>
      <c r="P246" s="169">
        <v>2186</v>
      </c>
      <c r="Q246" s="176">
        <v>2453</v>
      </c>
      <c r="R246" s="169">
        <f>Q246+R198+R263+R286+R284</f>
        <v>2625.7472087738734</v>
      </c>
      <c r="S246" s="169">
        <f t="shared" ref="S246:V246" si="815">R246+S198+S263+S286+S284</f>
        <v>2792.9826592867598</v>
      </c>
      <c r="T246" s="169">
        <f t="shared" si="815"/>
        <v>2983.8750410359899</v>
      </c>
      <c r="U246" s="169">
        <f t="shared" si="815"/>
        <v>3197.4491691628637</v>
      </c>
      <c r="V246" s="169">
        <f t="shared" si="815"/>
        <v>3463.2368980937631</v>
      </c>
      <c r="X246" s="169">
        <f t="shared" si="809"/>
        <v>603</v>
      </c>
      <c r="Y246" s="169">
        <f t="shared" si="810"/>
        <v>1028</v>
      </c>
      <c r="Z246" s="169">
        <f t="shared" si="811"/>
        <v>1720</v>
      </c>
      <c r="AA246" s="169">
        <f t="shared" si="812"/>
        <v>2625.7472087738734</v>
      </c>
      <c r="AB246" s="169">
        <f t="shared" si="813"/>
        <v>3463.2368980937631</v>
      </c>
      <c r="AC246" s="169">
        <f>AB246+AC198+AC263+AC286+AC284</f>
        <v>4404.720474828373</v>
      </c>
      <c r="AD246" s="169">
        <f t="shared" ref="AD246:AG246" si="816">AC246+AD198+AD263+AD286+AD284</f>
        <v>5740.3703512168795</v>
      </c>
      <c r="AE246" s="169">
        <f t="shared" si="816"/>
        <v>7842.9711785784057</v>
      </c>
      <c r="AF246" s="169">
        <f t="shared" si="816"/>
        <v>10470.791844349114</v>
      </c>
      <c r="AG246" s="169">
        <f t="shared" si="816"/>
        <v>13728.043674946444</v>
      </c>
    </row>
    <row r="247" spans="2:33" outlineLevel="1" x14ac:dyDescent="0.2">
      <c r="B247" s="159" t="s">
        <v>185</v>
      </c>
      <c r="C247" s="176">
        <v>-1941</v>
      </c>
      <c r="D247" s="176">
        <v>-1884</v>
      </c>
      <c r="E247" s="176">
        <v>-1911</v>
      </c>
      <c r="F247" s="176">
        <v>-1863</v>
      </c>
      <c r="G247" s="176">
        <v>-1864</v>
      </c>
      <c r="H247" s="176">
        <v>-1992</v>
      </c>
      <c r="I247" s="176">
        <v>-2111</v>
      </c>
      <c r="J247" s="176">
        <v>-1841</v>
      </c>
      <c r="K247" s="176">
        <v>-1806</v>
      </c>
      <c r="L247" s="169">
        <v>-1808</v>
      </c>
      <c r="M247" s="169">
        <v>-1850</v>
      </c>
      <c r="N247" s="169">
        <v>-1830</v>
      </c>
      <c r="O247" s="169">
        <v>-1861</v>
      </c>
      <c r="P247" s="169">
        <v>-1858</v>
      </c>
      <c r="Q247" s="176">
        <v>-1798</v>
      </c>
      <c r="R247" s="169">
        <f>Q247</f>
        <v>-1798</v>
      </c>
      <c r="S247" s="169">
        <f t="shared" ref="S247:V247" si="817">R247</f>
        <v>-1798</v>
      </c>
      <c r="T247" s="169">
        <f t="shared" si="817"/>
        <v>-1798</v>
      </c>
      <c r="U247" s="169">
        <f t="shared" si="817"/>
        <v>-1798</v>
      </c>
      <c r="V247" s="169">
        <f t="shared" si="817"/>
        <v>-1798</v>
      </c>
      <c r="X247" s="169">
        <f t="shared" si="809"/>
        <v>-1863</v>
      </c>
      <c r="Y247" s="169">
        <f t="shared" si="810"/>
        <v>-1841</v>
      </c>
      <c r="Z247" s="169">
        <f t="shared" si="811"/>
        <v>-1830</v>
      </c>
      <c r="AA247" s="169">
        <f t="shared" si="812"/>
        <v>-1798</v>
      </c>
      <c r="AB247" s="169">
        <f t="shared" si="813"/>
        <v>-1798</v>
      </c>
      <c r="AC247" s="169">
        <f t="shared" ref="AC247:AG247" si="818">AB247</f>
        <v>-1798</v>
      </c>
      <c r="AD247" s="169">
        <f t="shared" si="818"/>
        <v>-1798</v>
      </c>
      <c r="AE247" s="169">
        <f t="shared" si="818"/>
        <v>-1798</v>
      </c>
      <c r="AF247" s="169">
        <f t="shared" si="818"/>
        <v>-1798</v>
      </c>
      <c r="AG247" s="169">
        <f t="shared" si="818"/>
        <v>-1798</v>
      </c>
    </row>
    <row r="248" spans="2:33" outlineLevel="1" x14ac:dyDescent="0.2">
      <c r="B248" s="159" t="s">
        <v>186</v>
      </c>
      <c r="C248" s="176">
        <v>3662</v>
      </c>
      <c r="D248" s="176">
        <v>3598</v>
      </c>
      <c r="E248" s="176">
        <v>3579</v>
      </c>
      <c r="F248" s="176">
        <v>3508</v>
      </c>
      <c r="G248" s="176">
        <v>3457</v>
      </c>
      <c r="H248" s="176">
        <v>3421</v>
      </c>
      <c r="I248" s="176">
        <v>3273</v>
      </c>
      <c r="J248" s="176">
        <v>3601</v>
      </c>
      <c r="K248" s="176">
        <v>3761</v>
      </c>
      <c r="L248" s="169">
        <v>3775</v>
      </c>
      <c r="M248" s="169">
        <v>3872</v>
      </c>
      <c r="N248" s="169">
        <v>4037</v>
      </c>
      <c r="O248" s="169">
        <v>4086</v>
      </c>
      <c r="P248" s="169">
        <v>4277</v>
      </c>
      <c r="Q248" s="176">
        <f>SUM(Q243:Q247)</f>
        <v>4503</v>
      </c>
      <c r="R248" s="176">
        <f t="shared" ref="R248:V248" si="819">SUM(R243:R247)</f>
        <v>4675.7472087738734</v>
      </c>
      <c r="S248" s="176">
        <f t="shared" si="819"/>
        <v>4842.9826592867594</v>
      </c>
      <c r="T248" s="176">
        <f t="shared" si="819"/>
        <v>5033.8750410359899</v>
      </c>
      <c r="U248" s="176">
        <f t="shared" si="819"/>
        <v>5247.4491691628637</v>
      </c>
      <c r="V248" s="176">
        <f t="shared" si="819"/>
        <v>5513.2368980937626</v>
      </c>
      <c r="X248" s="169">
        <f t="shared" si="809"/>
        <v>3508</v>
      </c>
      <c r="Y248" s="169">
        <f t="shared" si="810"/>
        <v>3601</v>
      </c>
      <c r="Z248" s="169">
        <f t="shared" si="811"/>
        <v>4037</v>
      </c>
      <c r="AA248" s="169">
        <f t="shared" si="812"/>
        <v>4675.7472087738734</v>
      </c>
      <c r="AB248" s="169">
        <f t="shared" si="813"/>
        <v>5513.2368980937626</v>
      </c>
      <c r="AC248" s="176">
        <f t="shared" ref="AC248:AG248" si="820">SUM(AC243:AC247)</f>
        <v>6454.720474828373</v>
      </c>
      <c r="AD248" s="176">
        <f t="shared" si="820"/>
        <v>7790.3703512168795</v>
      </c>
      <c r="AE248" s="176">
        <f t="shared" si="820"/>
        <v>9892.9711785784057</v>
      </c>
      <c r="AF248" s="176">
        <f t="shared" si="820"/>
        <v>12520.791844349114</v>
      </c>
      <c r="AG248" s="176">
        <f t="shared" si="820"/>
        <v>15778.043674946442</v>
      </c>
    </row>
    <row r="249" spans="2:33" ht="15" outlineLevel="1" x14ac:dyDescent="0.25">
      <c r="B249" s="165" t="s">
        <v>187</v>
      </c>
      <c r="C249" s="177">
        <f t="shared" ref="C249" si="821">C248+C239</f>
        <v>10971</v>
      </c>
      <c r="D249" s="177">
        <f t="shared" ref="D249" si="822">D248+D239</f>
        <v>10379</v>
      </c>
      <c r="E249" s="177">
        <f t="shared" ref="E249" si="823">E248+E239</f>
        <v>10357</v>
      </c>
      <c r="F249" s="177">
        <f t="shared" ref="F249" si="824">F248+F239</f>
        <v>10219</v>
      </c>
      <c r="G249" s="177">
        <f t="shared" ref="G249" si="825">G248+G239</f>
        <v>10129</v>
      </c>
      <c r="H249" s="177">
        <f t="shared" ref="H249" si="826">H248+H239</f>
        <v>10052</v>
      </c>
      <c r="I249" s="177">
        <f t="shared" ref="I249" si="827">I248+I239</f>
        <v>9929</v>
      </c>
      <c r="J249" s="177">
        <f t="shared" ref="J249" si="828">J248+J239</f>
        <v>10255</v>
      </c>
      <c r="K249" s="177">
        <f t="shared" ref="K249" si="829">K248+K239</f>
        <v>10174</v>
      </c>
      <c r="L249" s="177">
        <f t="shared" ref="L249:O249" si="830">L248+L239</f>
        <v>10233</v>
      </c>
      <c r="M249" s="177">
        <f t="shared" si="830"/>
        <v>10166</v>
      </c>
      <c r="N249" s="177">
        <f t="shared" si="830"/>
        <v>10428</v>
      </c>
      <c r="O249" s="177">
        <f t="shared" si="830"/>
        <v>10410</v>
      </c>
      <c r="P249" s="177">
        <f>P248+P239</f>
        <v>10679</v>
      </c>
      <c r="Q249" s="177">
        <f>Q248+Q239</f>
        <v>10558</v>
      </c>
      <c r="R249" s="177">
        <f t="shared" ref="R249:X249" si="831">R248+R239</f>
        <v>10787.966208346605</v>
      </c>
      <c r="S249" s="177">
        <f t="shared" si="831"/>
        <v>10985.69637205391</v>
      </c>
      <c r="T249" s="177">
        <f t="shared" si="831"/>
        <v>11216.18137415128</v>
      </c>
      <c r="U249" s="177">
        <f t="shared" si="831"/>
        <v>11425.025481254965</v>
      </c>
      <c r="V249" s="177">
        <f t="shared" si="831"/>
        <v>11770.885216142686</v>
      </c>
      <c r="X249" s="177">
        <f t="shared" si="831"/>
        <v>10219</v>
      </c>
      <c r="Y249" s="177">
        <f t="shared" ref="Y249:AG249" si="832">Y248+Y239</f>
        <v>10255</v>
      </c>
      <c r="Z249" s="177">
        <f t="shared" si="832"/>
        <v>10428</v>
      </c>
      <c r="AA249" s="177">
        <f t="shared" si="832"/>
        <v>10787.966208346605</v>
      </c>
      <c r="AB249" s="177">
        <f t="shared" si="832"/>
        <v>11770.885216142686</v>
      </c>
      <c r="AC249" s="177">
        <f t="shared" si="832"/>
        <v>12977.425128209195</v>
      </c>
      <c r="AD249" s="177">
        <f t="shared" si="832"/>
        <v>14522.55635747087</v>
      </c>
      <c r="AE249" s="177">
        <f t="shared" si="832"/>
        <v>16932.193367432617</v>
      </c>
      <c r="AF249" s="177">
        <f t="shared" si="832"/>
        <v>19774.323347783829</v>
      </c>
      <c r="AG249" s="177">
        <f t="shared" si="832"/>
        <v>23276.937911725603</v>
      </c>
    </row>
    <row r="250" spans="2:33" outlineLevel="1" x14ac:dyDescent="0.2">
      <c r="C250" s="169"/>
      <c r="D250" s="169"/>
      <c r="E250" s="169"/>
      <c r="F250" s="169"/>
      <c r="G250" s="169"/>
      <c r="H250" s="169"/>
      <c r="I250" s="169"/>
      <c r="J250" s="169"/>
      <c r="K250" s="169"/>
      <c r="L250" s="169"/>
      <c r="M250" s="169"/>
      <c r="N250" s="169"/>
      <c r="O250" s="169"/>
      <c r="P250" s="169"/>
      <c r="Q250" s="169"/>
      <c r="X250" s="169"/>
      <c r="Y250" s="169"/>
      <c r="Z250" s="169"/>
      <c r="AA250" s="169"/>
      <c r="AB250" s="169"/>
    </row>
    <row r="251" spans="2:33" outlineLevel="1" x14ac:dyDescent="0.2">
      <c r="B251" s="156" t="s">
        <v>207</v>
      </c>
      <c r="C251" s="198">
        <f t="shared" ref="C251:J251" si="833">C249-C223</f>
        <v>0</v>
      </c>
      <c r="D251" s="198">
        <f t="shared" si="833"/>
        <v>0</v>
      </c>
      <c r="E251" s="198">
        <f t="shared" si="833"/>
        <v>0</v>
      </c>
      <c r="F251" s="198">
        <f t="shared" si="833"/>
        <v>0</v>
      </c>
      <c r="G251" s="198">
        <f t="shared" si="833"/>
        <v>0</v>
      </c>
      <c r="H251" s="198">
        <f t="shared" si="833"/>
        <v>0</v>
      </c>
      <c r="I251" s="198">
        <f t="shared" si="833"/>
        <v>0</v>
      </c>
      <c r="J251" s="198">
        <f t="shared" si="833"/>
        <v>0</v>
      </c>
      <c r="K251" s="198">
        <f t="shared" ref="K251:Q251" si="834">K249-K223</f>
        <v>0</v>
      </c>
      <c r="L251" s="198">
        <f t="shared" si="834"/>
        <v>0</v>
      </c>
      <c r="M251" s="198">
        <f t="shared" si="834"/>
        <v>0</v>
      </c>
      <c r="N251" s="198">
        <f t="shared" si="834"/>
        <v>0</v>
      </c>
      <c r="O251" s="198">
        <f t="shared" si="834"/>
        <v>0</v>
      </c>
      <c r="P251" s="198">
        <f t="shared" si="834"/>
        <v>0</v>
      </c>
      <c r="Q251" s="198">
        <f t="shared" si="834"/>
        <v>0</v>
      </c>
      <c r="R251" s="198">
        <f t="shared" ref="R251:X251" si="835">R249-R223</f>
        <v>0</v>
      </c>
      <c r="S251" s="198">
        <f t="shared" si="835"/>
        <v>0</v>
      </c>
      <c r="T251" s="198">
        <f t="shared" si="835"/>
        <v>0</v>
      </c>
      <c r="U251" s="198">
        <f t="shared" si="835"/>
        <v>0</v>
      </c>
      <c r="V251" s="198">
        <f t="shared" si="835"/>
        <v>0</v>
      </c>
      <c r="X251" s="198">
        <f t="shared" si="835"/>
        <v>0</v>
      </c>
      <c r="Y251" s="198">
        <f t="shared" ref="Y251:AG251" si="836">Y249-Y223</f>
        <v>0</v>
      </c>
      <c r="Z251" s="198">
        <f t="shared" si="836"/>
        <v>0</v>
      </c>
      <c r="AA251" s="198">
        <f t="shared" si="836"/>
        <v>0</v>
      </c>
      <c r="AB251" s="198">
        <f t="shared" si="836"/>
        <v>0</v>
      </c>
      <c r="AC251" s="198">
        <f>AC249-AC223</f>
        <v>0</v>
      </c>
      <c r="AD251" s="198">
        <f t="shared" si="836"/>
        <v>0</v>
      </c>
      <c r="AE251" s="198">
        <f t="shared" si="836"/>
        <v>0</v>
      </c>
      <c r="AF251" s="198">
        <f t="shared" si="836"/>
        <v>0</v>
      </c>
      <c r="AG251" s="198">
        <f t="shared" si="836"/>
        <v>0</v>
      </c>
    </row>
    <row r="252" spans="2:33" outlineLevel="1" x14ac:dyDescent="0.2">
      <c r="C252" s="169"/>
      <c r="D252" s="169"/>
      <c r="E252" s="169"/>
      <c r="F252" s="169"/>
      <c r="G252" s="169"/>
      <c r="H252" s="169"/>
      <c r="I252" s="169"/>
      <c r="J252" s="169"/>
      <c r="K252" s="169"/>
      <c r="L252" s="169"/>
      <c r="M252" s="169"/>
      <c r="N252" s="169"/>
      <c r="O252" s="169"/>
      <c r="P252" s="169"/>
      <c r="Q252" s="169"/>
    </row>
    <row r="253" spans="2:33" ht="15" outlineLevel="1" x14ac:dyDescent="0.25">
      <c r="B253" s="208" t="s">
        <v>274</v>
      </c>
      <c r="C253" s="207"/>
      <c r="D253" s="207"/>
      <c r="E253" s="207"/>
      <c r="F253" s="207"/>
      <c r="G253" s="207"/>
      <c r="H253" s="207"/>
      <c r="I253" s="207"/>
      <c r="J253" s="207"/>
      <c r="K253" s="207"/>
      <c r="L253" s="207"/>
      <c r="M253" s="207"/>
      <c r="N253" s="207"/>
      <c r="O253" s="207"/>
      <c r="P253" s="207"/>
      <c r="Q253" s="207"/>
      <c r="R253" s="207"/>
      <c r="S253" s="207"/>
      <c r="T253" s="207"/>
      <c r="U253" s="207"/>
      <c r="V253" s="207"/>
      <c r="X253" s="207"/>
      <c r="Y253" s="207"/>
      <c r="Z253" s="207"/>
      <c r="AA253" s="207"/>
      <c r="AB253" s="207"/>
      <c r="AC253" s="207"/>
      <c r="AD253" s="207"/>
      <c r="AE253" s="207"/>
      <c r="AF253" s="207"/>
      <c r="AG253" s="207"/>
    </row>
    <row r="254" spans="2:33" outlineLevel="1" x14ac:dyDescent="0.2"/>
    <row r="255" spans="2:33" ht="15" x14ac:dyDescent="0.25">
      <c r="B255" s="160" t="s">
        <v>113</v>
      </c>
      <c r="C255" s="169"/>
      <c r="D255" s="169"/>
      <c r="E255" s="169"/>
      <c r="F255" s="169"/>
      <c r="G255" s="169"/>
      <c r="H255" s="169"/>
      <c r="I255" s="169"/>
      <c r="J255" s="169"/>
      <c r="K255" s="169"/>
      <c r="L255" s="169"/>
      <c r="M255" s="169"/>
      <c r="N255" s="169"/>
      <c r="O255" s="169"/>
      <c r="P255" s="169"/>
      <c r="Q255" s="169"/>
    </row>
    <row r="256" spans="2:33" x14ac:dyDescent="0.2">
      <c r="B256" s="159" t="s">
        <v>114</v>
      </c>
      <c r="C256" s="169">
        <f t="shared" ref="C256:N256" si="837">C198</f>
        <v>80</v>
      </c>
      <c r="D256" s="169">
        <f t="shared" si="837"/>
        <v>74</v>
      </c>
      <c r="E256" s="169">
        <f t="shared" si="837"/>
        <v>27</v>
      </c>
      <c r="F256" s="169">
        <f t="shared" si="837"/>
        <v>77</v>
      </c>
      <c r="G256" s="169">
        <f t="shared" si="837"/>
        <v>131</v>
      </c>
      <c r="H256" s="169">
        <f t="shared" si="837"/>
        <v>147</v>
      </c>
      <c r="I256" s="169">
        <f t="shared" si="837"/>
        <v>80</v>
      </c>
      <c r="J256" s="169">
        <f t="shared" si="837"/>
        <v>111</v>
      </c>
      <c r="K256" s="169">
        <f t="shared" si="837"/>
        <v>148</v>
      </c>
      <c r="L256" s="169">
        <f t="shared" si="837"/>
        <v>193</v>
      </c>
      <c r="M256" s="169">
        <f t="shared" si="837"/>
        <v>188</v>
      </c>
      <c r="N256" s="169">
        <f t="shared" si="837"/>
        <v>236</v>
      </c>
      <c r="O256" s="169">
        <v>243</v>
      </c>
      <c r="P256" s="176">
        <v>266</v>
      </c>
      <c r="Q256" s="176">
        <v>332</v>
      </c>
      <c r="R256" s="169">
        <f>R198</f>
        <v>315.66565121373435</v>
      </c>
      <c r="S256" s="169">
        <f>S198</f>
        <v>310.0723353926079</v>
      </c>
      <c r="T256" s="169">
        <f>T198</f>
        <v>333.64770906881154</v>
      </c>
      <c r="U256" s="169">
        <f>U198</f>
        <v>356.24789788631665</v>
      </c>
      <c r="V256" s="169">
        <f>V198</f>
        <v>408.3799411302025</v>
      </c>
      <c r="X256" s="169">
        <f>SUM(C256:F256)</f>
        <v>258</v>
      </c>
      <c r="Y256" s="169">
        <f>SUM(G256:J256)</f>
        <v>469</v>
      </c>
      <c r="Z256" s="169">
        <f>SUM(K256:N256)</f>
        <v>765</v>
      </c>
      <c r="AA256" s="169">
        <f>SUM(O256:R256)</f>
        <v>1156.6656512137342</v>
      </c>
      <c r="AB256" s="169">
        <f>SUM(S256:V256)</f>
        <v>1408.3478834779385</v>
      </c>
      <c r="AC256" s="169">
        <f>AC198</f>
        <v>1775.8275903084639</v>
      </c>
      <c r="AD256" s="169">
        <f>AD198</f>
        <v>2244.1658967492881</v>
      </c>
      <c r="AE256" s="169">
        <f>AE198</f>
        <v>2827.8716538305421</v>
      </c>
      <c r="AF256" s="169">
        <f>AF198</f>
        <v>3353.0914922397233</v>
      </c>
      <c r="AG256" s="169">
        <f>AG198</f>
        <v>3982.5226570663458</v>
      </c>
    </row>
    <row r="257" spans="2:33" x14ac:dyDescent="0.2">
      <c r="B257" s="159" t="s">
        <v>115</v>
      </c>
      <c r="C257" s="169"/>
      <c r="D257" s="169"/>
      <c r="E257" s="169"/>
      <c r="F257" s="169"/>
      <c r="G257" s="169"/>
      <c r="H257" s="169"/>
      <c r="I257" s="169"/>
      <c r="J257" s="169"/>
      <c r="K257" s="169"/>
      <c r="L257" s="169"/>
      <c r="M257" s="169"/>
      <c r="N257" s="169"/>
      <c r="O257" s="169"/>
      <c r="P257" s="169"/>
      <c r="Q257" s="169"/>
      <c r="X257" s="169"/>
      <c r="Y257" s="169"/>
      <c r="Z257" s="169"/>
      <c r="AA257" s="169"/>
      <c r="AB257" s="169"/>
    </row>
    <row r="258" spans="2:33" x14ac:dyDescent="0.2">
      <c r="B258" s="159" t="s">
        <v>116</v>
      </c>
      <c r="C258" s="169">
        <f t="shared" ref="C258:N258" si="838">C184</f>
        <v>68</v>
      </c>
      <c r="D258" s="169">
        <f t="shared" si="838"/>
        <v>67</v>
      </c>
      <c r="E258" s="169">
        <f t="shared" si="838"/>
        <v>68</v>
      </c>
      <c r="F258" s="169">
        <f t="shared" si="838"/>
        <v>67</v>
      </c>
      <c r="G258" s="169">
        <f t="shared" si="838"/>
        <v>66</v>
      </c>
      <c r="H258" s="169">
        <f t="shared" si="838"/>
        <v>67</v>
      </c>
      <c r="I258" s="169">
        <f t="shared" si="838"/>
        <v>65</v>
      </c>
      <c r="J258" s="169">
        <f t="shared" si="838"/>
        <v>67</v>
      </c>
      <c r="K258" s="169">
        <f t="shared" si="838"/>
        <v>69</v>
      </c>
      <c r="L258" s="169">
        <f t="shared" si="838"/>
        <v>67</v>
      </c>
      <c r="M258" s="169">
        <f t="shared" si="838"/>
        <v>68</v>
      </c>
      <c r="N258" s="169">
        <f t="shared" si="838"/>
        <v>68</v>
      </c>
      <c r="O258" s="169">
        <v>67</v>
      </c>
      <c r="P258" s="176">
        <v>69</v>
      </c>
      <c r="Q258" s="176">
        <v>68</v>
      </c>
      <c r="R258" s="169">
        <f>R184</f>
        <v>66.577883333333347</v>
      </c>
      <c r="S258" s="169">
        <f>S184</f>
        <v>67.492611111111103</v>
      </c>
      <c r="T258" s="169">
        <f>T184</f>
        <v>69.632127222222238</v>
      </c>
      <c r="U258" s="169">
        <f>U184</f>
        <v>70.161083333333337</v>
      </c>
      <c r="V258" s="169">
        <f>V184</f>
        <v>74.625497777777781</v>
      </c>
      <c r="X258" s="169">
        <f t="shared" ref="X258:X265" si="839">SUM(C258:F258)</f>
        <v>270</v>
      </c>
      <c r="Y258" s="169">
        <f t="shared" ref="Y258:Y265" si="840">SUM(G258:J258)</f>
        <v>265</v>
      </c>
      <c r="Z258" s="169">
        <f t="shared" ref="Z258:Z265" si="841">SUM(K258:N258)</f>
        <v>272</v>
      </c>
      <c r="AA258" s="169">
        <f t="shared" ref="AA258:AA265" si="842">SUM(O258:R258)</f>
        <v>270.57788333333338</v>
      </c>
      <c r="AB258" s="169">
        <f t="shared" ref="AB258:AB265" si="843">SUM(S258:V258)</f>
        <v>281.91131944444442</v>
      </c>
      <c r="AC258" s="169">
        <f>AC184</f>
        <v>472.81073876408595</v>
      </c>
      <c r="AD258" s="169">
        <f>AD184</f>
        <v>421.84419675964506</v>
      </c>
      <c r="AE258" s="169">
        <f>AE184</f>
        <v>424.46882176446718</v>
      </c>
      <c r="AF258" s="169">
        <f>AF184</f>
        <v>398.3587126044772</v>
      </c>
      <c r="AG258" s="169">
        <f>AG184</f>
        <v>365.47054672970313</v>
      </c>
    </row>
    <row r="259" spans="2:33" x14ac:dyDescent="0.2">
      <c r="B259" s="159" t="s">
        <v>117</v>
      </c>
      <c r="C259" s="176"/>
      <c r="D259" s="176"/>
      <c r="E259" s="176"/>
      <c r="F259" s="176"/>
      <c r="G259" s="176"/>
      <c r="H259" s="176"/>
      <c r="I259" s="176"/>
      <c r="J259" s="176"/>
      <c r="K259" s="176"/>
      <c r="L259" s="169"/>
      <c r="M259" s="169"/>
      <c r="N259" s="169"/>
      <c r="O259" s="169">
        <v>32</v>
      </c>
      <c r="P259" s="176">
        <v>35</v>
      </c>
      <c r="Q259" s="176">
        <v>-28</v>
      </c>
      <c r="R259" s="187">
        <v>0</v>
      </c>
      <c r="S259" s="187">
        <v>0</v>
      </c>
      <c r="T259" s="187">
        <v>0</v>
      </c>
      <c r="U259" s="187">
        <v>0</v>
      </c>
      <c r="V259" s="187">
        <v>0</v>
      </c>
      <c r="X259" s="169">
        <f t="shared" si="839"/>
        <v>0</v>
      </c>
      <c r="Y259" s="169">
        <f t="shared" si="840"/>
        <v>0</v>
      </c>
      <c r="Z259" s="169">
        <f t="shared" si="841"/>
        <v>0</v>
      </c>
      <c r="AA259" s="169">
        <f t="shared" si="842"/>
        <v>39</v>
      </c>
      <c r="AB259" s="169">
        <f t="shared" si="843"/>
        <v>0</v>
      </c>
      <c r="AC259" s="187">
        <v>0</v>
      </c>
      <c r="AD259" s="187">
        <v>0</v>
      </c>
      <c r="AE259" s="187">
        <v>0</v>
      </c>
      <c r="AF259" s="187">
        <v>0</v>
      </c>
      <c r="AG259" s="187">
        <v>0</v>
      </c>
    </row>
    <row r="260" spans="2:33" x14ac:dyDescent="0.2">
      <c r="B260" s="159" t="s">
        <v>118</v>
      </c>
      <c r="C260" s="176"/>
      <c r="D260" s="176"/>
      <c r="E260" s="176"/>
      <c r="F260" s="176"/>
      <c r="G260" s="176"/>
      <c r="H260" s="176"/>
      <c r="I260" s="176"/>
      <c r="J260" s="176"/>
      <c r="K260" s="176"/>
      <c r="L260" s="169"/>
      <c r="M260" s="169"/>
      <c r="N260" s="169"/>
      <c r="O260" s="169">
        <v>0</v>
      </c>
      <c r="P260" s="176">
        <v>22</v>
      </c>
      <c r="Q260" s="176">
        <v>-1</v>
      </c>
      <c r="R260" s="187">
        <v>0</v>
      </c>
      <c r="S260" s="187">
        <v>0</v>
      </c>
      <c r="T260" s="187">
        <v>0</v>
      </c>
      <c r="U260" s="187">
        <v>0</v>
      </c>
      <c r="V260" s="187">
        <v>0</v>
      </c>
      <c r="X260" s="169">
        <f t="shared" si="839"/>
        <v>0</v>
      </c>
      <c r="Y260" s="169">
        <f t="shared" si="840"/>
        <v>0</v>
      </c>
      <c r="Z260" s="169">
        <f t="shared" si="841"/>
        <v>0</v>
      </c>
      <c r="AA260" s="169">
        <f t="shared" si="842"/>
        <v>21</v>
      </c>
      <c r="AB260" s="169">
        <f t="shared" si="843"/>
        <v>0</v>
      </c>
      <c r="AC260" s="187">
        <v>0</v>
      </c>
      <c r="AD260" s="187">
        <v>0</v>
      </c>
      <c r="AE260" s="187">
        <v>0</v>
      </c>
      <c r="AF260" s="187">
        <v>0</v>
      </c>
      <c r="AG260" s="187">
        <v>0</v>
      </c>
    </row>
    <row r="261" spans="2:33" x14ac:dyDescent="0.2">
      <c r="B261" s="159" t="s">
        <v>119</v>
      </c>
      <c r="C261" s="176"/>
      <c r="D261" s="176"/>
      <c r="E261" s="176"/>
      <c r="F261" s="176"/>
      <c r="G261" s="176"/>
      <c r="H261" s="176"/>
      <c r="I261" s="176"/>
      <c r="J261" s="176"/>
      <c r="K261" s="176"/>
      <c r="L261" s="169"/>
      <c r="M261" s="169"/>
      <c r="N261" s="169"/>
      <c r="O261" s="169">
        <v>7</v>
      </c>
      <c r="P261" s="176">
        <v>6</v>
      </c>
      <c r="Q261" s="176">
        <v>5</v>
      </c>
      <c r="R261" s="187">
        <v>0</v>
      </c>
      <c r="S261" s="187">
        <v>0</v>
      </c>
      <c r="T261" s="187">
        <v>0</v>
      </c>
      <c r="U261" s="187">
        <v>0</v>
      </c>
      <c r="V261" s="187">
        <v>0</v>
      </c>
      <c r="X261" s="169">
        <f t="shared" si="839"/>
        <v>0</v>
      </c>
      <c r="Y261" s="169">
        <f t="shared" si="840"/>
        <v>0</v>
      </c>
      <c r="Z261" s="169">
        <f t="shared" si="841"/>
        <v>0</v>
      </c>
      <c r="AA261" s="169">
        <f t="shared" si="842"/>
        <v>18</v>
      </c>
      <c r="AB261" s="169">
        <f t="shared" si="843"/>
        <v>0</v>
      </c>
      <c r="AC261" s="187">
        <v>0</v>
      </c>
      <c r="AD261" s="187">
        <v>0</v>
      </c>
      <c r="AE261" s="187">
        <v>0</v>
      </c>
      <c r="AF261" s="187">
        <v>0</v>
      </c>
      <c r="AG261" s="187">
        <v>0</v>
      </c>
    </row>
    <row r="262" spans="2:33" x14ac:dyDescent="0.2">
      <c r="B262" s="159" t="s">
        <v>120</v>
      </c>
      <c r="C262" s="176"/>
      <c r="D262" s="176"/>
      <c r="E262" s="176"/>
      <c r="F262" s="176"/>
      <c r="G262" s="176"/>
      <c r="H262" s="176"/>
      <c r="I262" s="176"/>
      <c r="J262" s="176"/>
      <c r="K262" s="176"/>
      <c r="L262" s="169"/>
      <c r="M262" s="169"/>
      <c r="N262" s="169"/>
      <c r="O262" s="169">
        <v>10</v>
      </c>
      <c r="P262" s="176">
        <v>10</v>
      </c>
      <c r="Q262" s="176">
        <v>11</v>
      </c>
      <c r="R262" s="187">
        <v>0</v>
      </c>
      <c r="S262" s="187">
        <v>0</v>
      </c>
      <c r="T262" s="187">
        <v>0</v>
      </c>
      <c r="U262" s="187">
        <v>0</v>
      </c>
      <c r="V262" s="187">
        <v>0</v>
      </c>
      <c r="X262" s="169">
        <f t="shared" si="839"/>
        <v>0</v>
      </c>
      <c r="Y262" s="169">
        <f t="shared" si="840"/>
        <v>0</v>
      </c>
      <c r="Z262" s="169">
        <f t="shared" si="841"/>
        <v>0</v>
      </c>
      <c r="AA262" s="169">
        <f t="shared" si="842"/>
        <v>31</v>
      </c>
      <c r="AB262" s="169">
        <f t="shared" si="843"/>
        <v>0</v>
      </c>
      <c r="AC262" s="187">
        <v>0</v>
      </c>
      <c r="AD262" s="187">
        <v>0</v>
      </c>
      <c r="AE262" s="187">
        <v>0</v>
      </c>
      <c r="AF262" s="187">
        <v>0</v>
      </c>
      <c r="AG262" s="187">
        <v>0</v>
      </c>
    </row>
    <row r="263" spans="2:33" x14ac:dyDescent="0.2">
      <c r="B263" s="159" t="s">
        <v>121</v>
      </c>
      <c r="C263" s="176">
        <v>6</v>
      </c>
      <c r="D263" s="176">
        <v>8</v>
      </c>
      <c r="E263" s="176">
        <v>14</v>
      </c>
      <c r="F263" s="176">
        <v>13</v>
      </c>
      <c r="G263" s="176">
        <v>11</v>
      </c>
      <c r="H263" s="176">
        <v>18</v>
      </c>
      <c r="I263" s="176">
        <v>14</v>
      </c>
      <c r="J263" s="176">
        <v>11</v>
      </c>
      <c r="K263" s="176">
        <v>14</v>
      </c>
      <c r="L263" s="169">
        <v>12</v>
      </c>
      <c r="M263" s="169">
        <v>13</v>
      </c>
      <c r="N263" s="169">
        <v>11</v>
      </c>
      <c r="O263" s="169">
        <v>15</v>
      </c>
      <c r="P263" s="176">
        <v>23</v>
      </c>
      <c r="Q263" s="176">
        <v>16</v>
      </c>
      <c r="R263" s="175">
        <f>Q263</f>
        <v>16</v>
      </c>
      <c r="S263" s="175">
        <f t="shared" ref="S263:V263" si="844">R263</f>
        <v>16</v>
      </c>
      <c r="T263" s="175">
        <f t="shared" si="844"/>
        <v>16</v>
      </c>
      <c r="U263" s="175">
        <f t="shared" si="844"/>
        <v>16</v>
      </c>
      <c r="V263" s="175">
        <f t="shared" si="844"/>
        <v>16</v>
      </c>
      <c r="X263" s="169">
        <f t="shared" si="839"/>
        <v>41</v>
      </c>
      <c r="Y263" s="169">
        <f t="shared" si="840"/>
        <v>54</v>
      </c>
      <c r="Z263" s="169">
        <f t="shared" si="841"/>
        <v>50</v>
      </c>
      <c r="AA263" s="169">
        <f t="shared" si="842"/>
        <v>70</v>
      </c>
      <c r="AB263" s="169">
        <f t="shared" si="843"/>
        <v>64</v>
      </c>
      <c r="AC263" s="175">
        <f t="shared" ref="AC263:AG263" si="845">AB263</f>
        <v>64</v>
      </c>
      <c r="AD263" s="175">
        <f t="shared" si="845"/>
        <v>64</v>
      </c>
      <c r="AE263" s="175">
        <f t="shared" si="845"/>
        <v>64</v>
      </c>
      <c r="AF263" s="175">
        <f t="shared" si="845"/>
        <v>64</v>
      </c>
      <c r="AG263" s="175">
        <f t="shared" si="845"/>
        <v>64</v>
      </c>
    </row>
    <row r="264" spans="2:33" x14ac:dyDescent="0.2">
      <c r="B264" s="159" t="s">
        <v>106</v>
      </c>
      <c r="D264" s="176"/>
      <c r="E264" s="176"/>
      <c r="F264" s="176"/>
      <c r="G264" s="176"/>
      <c r="H264" s="176"/>
      <c r="I264" s="176"/>
      <c r="J264" s="176"/>
      <c r="K264" s="176"/>
      <c r="L264" s="169"/>
      <c r="M264" s="169"/>
      <c r="N264" s="169"/>
      <c r="O264" s="169">
        <v>0</v>
      </c>
      <c r="P264" s="176">
        <v>0</v>
      </c>
      <c r="Q264" s="176">
        <v>6</v>
      </c>
      <c r="R264" s="187">
        <v>0</v>
      </c>
      <c r="S264" s="187">
        <v>0</v>
      </c>
      <c r="T264" s="187">
        <v>0</v>
      </c>
      <c r="U264" s="187">
        <v>0</v>
      </c>
      <c r="V264" s="187">
        <v>0</v>
      </c>
      <c r="X264" s="169">
        <f t="shared" si="839"/>
        <v>0</v>
      </c>
      <c r="Y264" s="169">
        <f t="shared" si="840"/>
        <v>0</v>
      </c>
      <c r="Z264" s="169">
        <f t="shared" si="841"/>
        <v>0</v>
      </c>
      <c r="AA264" s="169">
        <f t="shared" si="842"/>
        <v>6</v>
      </c>
      <c r="AB264" s="169">
        <f t="shared" si="843"/>
        <v>0</v>
      </c>
      <c r="AC264" s="187">
        <v>0</v>
      </c>
      <c r="AD264" s="187">
        <v>0</v>
      </c>
      <c r="AE264" s="187">
        <v>0</v>
      </c>
      <c r="AF264" s="187">
        <v>0</v>
      </c>
      <c r="AG264" s="187">
        <v>0</v>
      </c>
    </row>
    <row r="265" spans="2:33" x14ac:dyDescent="0.2">
      <c r="B265" s="159" t="s">
        <v>122</v>
      </c>
      <c r="C265" s="176"/>
      <c r="D265" s="176"/>
      <c r="E265" s="176"/>
      <c r="F265" s="176"/>
      <c r="G265" s="176"/>
      <c r="H265" s="176"/>
      <c r="I265" s="176"/>
      <c r="J265" s="176"/>
      <c r="K265" s="176"/>
      <c r="L265" s="169"/>
      <c r="M265" s="169"/>
      <c r="N265" s="169"/>
      <c r="O265" s="169">
        <v>1</v>
      </c>
      <c r="P265" s="176">
        <v>6</v>
      </c>
      <c r="Q265" s="176">
        <v>-3</v>
      </c>
      <c r="R265" s="187">
        <v>0</v>
      </c>
      <c r="S265" s="187">
        <v>0</v>
      </c>
      <c r="T265" s="187">
        <v>0</v>
      </c>
      <c r="U265" s="187">
        <v>0</v>
      </c>
      <c r="V265" s="187">
        <v>0</v>
      </c>
      <c r="X265" s="169">
        <f t="shared" si="839"/>
        <v>0</v>
      </c>
      <c r="Y265" s="169">
        <f t="shared" si="840"/>
        <v>0</v>
      </c>
      <c r="Z265" s="169">
        <f t="shared" si="841"/>
        <v>0</v>
      </c>
      <c r="AA265" s="169">
        <f t="shared" si="842"/>
        <v>4</v>
      </c>
      <c r="AB265" s="169">
        <f t="shared" si="843"/>
        <v>0</v>
      </c>
      <c r="AC265" s="187">
        <v>0</v>
      </c>
      <c r="AD265" s="187">
        <v>0</v>
      </c>
      <c r="AE265" s="187">
        <v>0</v>
      </c>
      <c r="AF265" s="187">
        <v>0</v>
      </c>
      <c r="AG265" s="187">
        <v>0</v>
      </c>
    </row>
    <row r="266" spans="2:33" x14ac:dyDescent="0.2">
      <c r="B266" s="159"/>
      <c r="C266" s="176"/>
      <c r="D266" s="176"/>
      <c r="E266" s="176"/>
      <c r="F266" s="176"/>
      <c r="G266" s="176"/>
      <c r="H266" s="176"/>
      <c r="I266" s="176"/>
      <c r="J266" s="176"/>
      <c r="K266" s="176"/>
      <c r="L266" s="169"/>
      <c r="M266" s="169"/>
      <c r="N266" s="169"/>
      <c r="O266" s="169"/>
      <c r="P266" s="176"/>
      <c r="Q266" s="176"/>
      <c r="X266" s="169"/>
      <c r="Y266" s="169"/>
      <c r="Z266" s="169"/>
      <c r="AA266" s="169"/>
      <c r="AB266" s="169"/>
    </row>
    <row r="267" spans="2:33" x14ac:dyDescent="0.2">
      <c r="B267" s="159" t="s">
        <v>123</v>
      </c>
      <c r="C267" s="169"/>
      <c r="D267" s="169"/>
      <c r="E267" s="169"/>
      <c r="F267" s="169"/>
      <c r="G267" s="169"/>
      <c r="H267" s="169"/>
      <c r="I267" s="169"/>
      <c r="J267" s="169"/>
      <c r="K267" s="169"/>
      <c r="L267" s="169"/>
      <c r="M267" s="169"/>
      <c r="N267" s="169"/>
      <c r="O267" s="169"/>
      <c r="P267" s="169"/>
      <c r="Q267" s="169"/>
      <c r="X267" s="169"/>
      <c r="Y267" s="169"/>
      <c r="Z267" s="169"/>
      <c r="AA267" s="169"/>
      <c r="AB267" s="169"/>
    </row>
    <row r="268" spans="2:33" x14ac:dyDescent="0.2">
      <c r="B268" s="159" t="s">
        <v>124</v>
      </c>
      <c r="C268" s="182"/>
      <c r="D268" s="182">
        <f t="shared" ref="D268:N268" si="846">C212-D212</f>
        <v>23</v>
      </c>
      <c r="E268" s="182">
        <f t="shared" si="846"/>
        <v>-92</v>
      </c>
      <c r="F268" s="182">
        <f t="shared" si="846"/>
        <v>41</v>
      </c>
      <c r="G268" s="182">
        <f t="shared" si="846"/>
        <v>-112</v>
      </c>
      <c r="H268" s="182">
        <f t="shared" si="846"/>
        <v>-22</v>
      </c>
      <c r="I268" s="182">
        <f t="shared" si="846"/>
        <v>-49</v>
      </c>
      <c r="J268" s="182">
        <f t="shared" si="846"/>
        <v>44</v>
      </c>
      <c r="K268" s="182">
        <f t="shared" si="846"/>
        <v>-149</v>
      </c>
      <c r="L268" s="182">
        <f t="shared" si="846"/>
        <v>-2</v>
      </c>
      <c r="M268" s="182">
        <f t="shared" si="846"/>
        <v>-57</v>
      </c>
      <c r="N268" s="182">
        <f t="shared" si="846"/>
        <v>39</v>
      </c>
      <c r="O268" s="182">
        <v>-127</v>
      </c>
      <c r="P268" s="182">
        <v>27</v>
      </c>
      <c r="Q268" s="182">
        <v>3</v>
      </c>
      <c r="R268" s="182">
        <f>Q212-R212</f>
        <v>-27.732700402231785</v>
      </c>
      <c r="S268" s="182">
        <f t="shared" ref="S268:V268" si="847">R212-S212</f>
        <v>-10.781610397473969</v>
      </c>
      <c r="T268" s="182">
        <f t="shared" si="847"/>
        <v>-25.217807646728261</v>
      </c>
      <c r="U268" s="182">
        <f t="shared" si="847"/>
        <v>-6.2346403442758174</v>
      </c>
      <c r="V268" s="182">
        <f t="shared" si="847"/>
        <v>-52.620657601314747</v>
      </c>
      <c r="X268" s="169">
        <f t="shared" ref="X268:X277" si="848">SUM(C268:F268)</f>
        <v>-28</v>
      </c>
      <c r="Y268" s="169">
        <f t="shared" ref="Y268:Y277" si="849">SUM(G268:J268)</f>
        <v>-139</v>
      </c>
      <c r="Z268" s="169">
        <f t="shared" ref="Z268:Z277" si="850">SUM(K268:N268)</f>
        <v>-169</v>
      </c>
      <c r="AA268" s="169">
        <f t="shared" ref="AA268:AA277" si="851">SUM(O268:R268)</f>
        <v>-124.73270040223179</v>
      </c>
      <c r="AB268" s="169">
        <f t="shared" ref="AB268:AB277" si="852">SUM(S268:V268)</f>
        <v>-94.854715989792794</v>
      </c>
      <c r="AC268" s="182">
        <f t="shared" ref="AC268:AG268" si="853">AB212-AC212</f>
        <v>-127.152092715967</v>
      </c>
      <c r="AD268" s="182">
        <f t="shared" si="853"/>
        <v>-87.139826161740075</v>
      </c>
      <c r="AE268" s="182">
        <f t="shared" si="853"/>
        <v>-130.82010840513885</v>
      </c>
      <c r="AF268" s="182">
        <f t="shared" si="853"/>
        <v>-79.84683597799517</v>
      </c>
      <c r="AG268" s="182">
        <f t="shared" si="853"/>
        <v>-91.614974760755786</v>
      </c>
    </row>
    <row r="269" spans="2:33" x14ac:dyDescent="0.2">
      <c r="B269" s="159" t="s">
        <v>125</v>
      </c>
      <c r="C269" s="182"/>
      <c r="D269" s="182">
        <f t="shared" ref="D269:N269" si="854">C214-D214</f>
        <v>-3</v>
      </c>
      <c r="E269" s="182">
        <f t="shared" si="854"/>
        <v>36</v>
      </c>
      <c r="F269" s="182">
        <f t="shared" si="854"/>
        <v>18</v>
      </c>
      <c r="G269" s="182">
        <f t="shared" si="854"/>
        <v>-81</v>
      </c>
      <c r="H269" s="182">
        <f t="shared" si="854"/>
        <v>-80</v>
      </c>
      <c r="I269" s="182">
        <f t="shared" si="854"/>
        <v>-49</v>
      </c>
      <c r="J269" s="182">
        <f t="shared" si="854"/>
        <v>3</v>
      </c>
      <c r="K269" s="182">
        <f t="shared" si="854"/>
        <v>-53</v>
      </c>
      <c r="L269" s="182">
        <f t="shared" si="854"/>
        <v>-53</v>
      </c>
      <c r="M269" s="182">
        <f t="shared" si="854"/>
        <v>-33</v>
      </c>
      <c r="N269" s="182">
        <f t="shared" si="854"/>
        <v>-17</v>
      </c>
      <c r="O269" s="182">
        <v>-31</v>
      </c>
      <c r="P269" s="182">
        <v>-78</v>
      </c>
      <c r="Q269" s="182">
        <v>-30</v>
      </c>
      <c r="R269" s="182">
        <f t="shared" ref="R269:V270" si="855">Q214-R214</f>
        <v>-77.138867411361844</v>
      </c>
      <c r="S269" s="182">
        <f t="shared" si="855"/>
        <v>-46.29407737177462</v>
      </c>
      <c r="T269" s="182">
        <f t="shared" si="855"/>
        <v>-42.460147329015399</v>
      </c>
      <c r="U269" s="182">
        <f t="shared" si="855"/>
        <v>19.61627012451072</v>
      </c>
      <c r="V269" s="182">
        <f t="shared" si="855"/>
        <v>-83.323077650822142</v>
      </c>
      <c r="X269" s="169">
        <f t="shared" si="848"/>
        <v>51</v>
      </c>
      <c r="Y269" s="169">
        <f t="shared" si="849"/>
        <v>-207</v>
      </c>
      <c r="Z269" s="169">
        <f t="shared" si="850"/>
        <v>-156</v>
      </c>
      <c r="AA269" s="169">
        <f t="shared" si="851"/>
        <v>-216.13886741136184</v>
      </c>
      <c r="AB269" s="169">
        <f t="shared" si="852"/>
        <v>-152.46103222710144</v>
      </c>
      <c r="AC269" s="182">
        <f t="shared" ref="AC269:AG270" si="856">AB214-AC214</f>
        <v>-264.20860582835985</v>
      </c>
      <c r="AD269" s="182">
        <f t="shared" si="856"/>
        <v>-168.87135750478319</v>
      </c>
      <c r="AE269" s="182">
        <f t="shared" si="856"/>
        <v>-266.84783891818142</v>
      </c>
      <c r="AF269" s="182">
        <f t="shared" si="856"/>
        <v>-143.14494470157751</v>
      </c>
      <c r="AG269" s="182">
        <f t="shared" si="856"/>
        <v>-160.82714220029538</v>
      </c>
    </row>
    <row r="270" spans="2:33" x14ac:dyDescent="0.2">
      <c r="B270" s="159" t="s">
        <v>126</v>
      </c>
      <c r="C270" s="182"/>
      <c r="D270" s="182">
        <f t="shared" ref="D270:N270" si="857">C215-D215</f>
        <v>-10</v>
      </c>
      <c r="E270" s="182">
        <f t="shared" si="857"/>
        <v>1</v>
      </c>
      <c r="F270" s="182">
        <f t="shared" si="857"/>
        <v>16</v>
      </c>
      <c r="G270" s="182">
        <f t="shared" si="857"/>
        <v>-55</v>
      </c>
      <c r="H270" s="182">
        <f t="shared" si="857"/>
        <v>63</v>
      </c>
      <c r="I270" s="182">
        <f t="shared" si="857"/>
        <v>6</v>
      </c>
      <c r="J270" s="182">
        <f t="shared" si="857"/>
        <v>-25</v>
      </c>
      <c r="K270" s="182">
        <f t="shared" si="857"/>
        <v>19</v>
      </c>
      <c r="L270" s="182">
        <f t="shared" si="857"/>
        <v>-20</v>
      </c>
      <c r="M270" s="182">
        <f t="shared" si="857"/>
        <v>-5</v>
      </c>
      <c r="N270" s="182">
        <f t="shared" si="857"/>
        <v>-37</v>
      </c>
      <c r="O270" s="182">
        <v>23</v>
      </c>
      <c r="P270" s="182">
        <v>-18</v>
      </c>
      <c r="Q270" s="182">
        <v>4</v>
      </c>
      <c r="R270" s="182">
        <f t="shared" si="855"/>
        <v>-8.7557667055923503</v>
      </c>
      <c r="S270" s="182">
        <f t="shared" si="855"/>
        <v>-3.403969464988478</v>
      </c>
      <c r="T270" s="182">
        <f t="shared" si="855"/>
        <v>-7.9617648977120723</v>
      </c>
      <c r="U270" s="182">
        <f t="shared" si="855"/>
        <v>-1.9684003200553661</v>
      </c>
      <c r="V270" s="182">
        <f t="shared" si="855"/>
        <v>-16.613391237403221</v>
      </c>
      <c r="X270" s="169">
        <f t="shared" si="848"/>
        <v>7</v>
      </c>
      <c r="Y270" s="169">
        <f t="shared" si="849"/>
        <v>-11</v>
      </c>
      <c r="Z270" s="169">
        <f t="shared" si="850"/>
        <v>-43</v>
      </c>
      <c r="AA270" s="169">
        <f t="shared" si="851"/>
        <v>0.24423329440764974</v>
      </c>
      <c r="AB270" s="169">
        <f t="shared" si="852"/>
        <v>-29.947525920159137</v>
      </c>
      <c r="AC270" s="182">
        <f t="shared" si="856"/>
        <v>-24.683409929820925</v>
      </c>
      <c r="AD270" s="182">
        <f t="shared" si="856"/>
        <v>-8.4867683020797813</v>
      </c>
      <c r="AE270" s="182">
        <f t="shared" si="856"/>
        <v>-16.301795671012712</v>
      </c>
      <c r="AF270" s="182">
        <f t="shared" si="856"/>
        <v>2.1469186819481365</v>
      </c>
      <c r="AG270" s="182">
        <f t="shared" si="856"/>
        <v>3.7422710280678757</v>
      </c>
    </row>
    <row r="271" spans="2:33" x14ac:dyDescent="0.2">
      <c r="B271" s="159" t="s">
        <v>127</v>
      </c>
      <c r="C271" s="182"/>
      <c r="D271" s="182">
        <f t="shared" ref="D271:N271" si="858">D227-C227</f>
        <v>36</v>
      </c>
      <c r="E271" s="182">
        <f t="shared" si="858"/>
        <v>14</v>
      </c>
      <c r="F271" s="182">
        <f t="shared" si="858"/>
        <v>86</v>
      </c>
      <c r="G271" s="182">
        <f t="shared" si="858"/>
        <v>45</v>
      </c>
      <c r="H271" s="182">
        <f t="shared" si="858"/>
        <v>37</v>
      </c>
      <c r="I271" s="182">
        <f t="shared" si="858"/>
        <v>-2</v>
      </c>
      <c r="J271" s="182">
        <f t="shared" si="858"/>
        <v>150</v>
      </c>
      <c r="K271" s="182">
        <f t="shared" si="858"/>
        <v>-85</v>
      </c>
      <c r="L271" s="182">
        <f t="shared" si="858"/>
        <v>4</v>
      </c>
      <c r="M271" s="182">
        <f t="shared" si="858"/>
        <v>13</v>
      </c>
      <c r="N271" s="182">
        <f t="shared" si="858"/>
        <v>88</v>
      </c>
      <c r="O271" s="182">
        <v>22</v>
      </c>
      <c r="P271" s="182">
        <v>-16</v>
      </c>
      <c r="Q271" s="182">
        <v>-73</v>
      </c>
      <c r="R271" s="182">
        <f>R227-Q227</f>
        <v>37.190505476455655</v>
      </c>
      <c r="S271" s="182">
        <f t="shared" ref="S271:V271" si="859">S227-R227</f>
        <v>22.319489458421344</v>
      </c>
      <c r="T271" s="182">
        <f t="shared" si="859"/>
        <v>20.471059464094083</v>
      </c>
      <c r="U271" s="182">
        <f t="shared" si="859"/>
        <v>-9.4574761851609992</v>
      </c>
      <c r="V271" s="182">
        <f t="shared" si="859"/>
        <v>40.172062148161899</v>
      </c>
      <c r="X271" s="169">
        <f t="shared" si="848"/>
        <v>136</v>
      </c>
      <c r="Y271" s="169">
        <f t="shared" si="849"/>
        <v>230</v>
      </c>
      <c r="Z271" s="169">
        <f t="shared" si="850"/>
        <v>20</v>
      </c>
      <c r="AA271" s="169">
        <f t="shared" si="851"/>
        <v>-29.809494523544345</v>
      </c>
      <c r="AB271" s="169">
        <f t="shared" si="852"/>
        <v>73.505134885516327</v>
      </c>
      <c r="AC271" s="182">
        <f t="shared" ref="AC271:AG271" si="860">AC227-AB227</f>
        <v>160.81559172556672</v>
      </c>
      <c r="AD271" s="182">
        <f t="shared" si="860"/>
        <v>120.59630439074931</v>
      </c>
      <c r="AE271" s="182">
        <f t="shared" si="860"/>
        <v>178.05214339416466</v>
      </c>
      <c r="AF271" s="182">
        <f t="shared" si="860"/>
        <v>120.445142446413</v>
      </c>
      <c r="AG271" s="182">
        <f t="shared" si="860"/>
        <v>136.0640345920167</v>
      </c>
    </row>
    <row r="272" spans="2:33" x14ac:dyDescent="0.2">
      <c r="B272" s="159" t="s">
        <v>128</v>
      </c>
      <c r="C272" s="182"/>
      <c r="D272" s="182">
        <f t="shared" ref="D272:N272" si="861">D228-C228</f>
        <v>24</v>
      </c>
      <c r="E272" s="182">
        <f t="shared" si="861"/>
        <v>7</v>
      </c>
      <c r="F272" s="182">
        <f t="shared" si="861"/>
        <v>-4</v>
      </c>
      <c r="G272" s="182">
        <f t="shared" si="861"/>
        <v>-26</v>
      </c>
      <c r="H272" s="182">
        <f t="shared" si="861"/>
        <v>26</v>
      </c>
      <c r="I272" s="182">
        <f t="shared" si="861"/>
        <v>6</v>
      </c>
      <c r="J272" s="182">
        <f t="shared" si="861"/>
        <v>-9</v>
      </c>
      <c r="K272" s="182">
        <f t="shared" si="861"/>
        <v>-2</v>
      </c>
      <c r="L272" s="182">
        <f t="shared" si="861"/>
        <v>16</v>
      </c>
      <c r="M272" s="182">
        <f t="shared" si="861"/>
        <v>31</v>
      </c>
      <c r="N272" s="182">
        <f t="shared" si="861"/>
        <v>23</v>
      </c>
      <c r="O272" s="182">
        <v>-87</v>
      </c>
      <c r="P272" s="182">
        <v>70</v>
      </c>
      <c r="Q272" s="182">
        <v>-25</v>
      </c>
      <c r="R272" s="182">
        <f>R228-Q228</f>
        <v>10.550882055274485</v>
      </c>
      <c r="S272" s="182">
        <f t="shared" ref="S272:V273" si="862">S228-R228</f>
        <v>4.1018544180614072</v>
      </c>
      <c r="T272" s="182">
        <f t="shared" si="862"/>
        <v>9.5940932658622842</v>
      </c>
      <c r="U272" s="182">
        <f t="shared" si="862"/>
        <v>2.3719635655897378</v>
      </c>
      <c r="V272" s="182">
        <f t="shared" si="862"/>
        <v>20.019484001557032</v>
      </c>
      <c r="X272" s="169">
        <f t="shared" si="848"/>
        <v>27</v>
      </c>
      <c r="Y272" s="169">
        <f t="shared" si="849"/>
        <v>-3</v>
      </c>
      <c r="Z272" s="169">
        <f t="shared" si="850"/>
        <v>68</v>
      </c>
      <c r="AA272" s="169">
        <f t="shared" si="851"/>
        <v>-31.449117944725515</v>
      </c>
      <c r="AB272" s="169">
        <f t="shared" si="852"/>
        <v>36.087395251070461</v>
      </c>
      <c r="AC272" s="182">
        <f t="shared" ref="AC272:AG273" si="863">AC228-AB228</f>
        <v>58.231366937201983</v>
      </c>
      <c r="AD272" s="182">
        <f t="shared" si="863"/>
        <v>45.280777054993109</v>
      </c>
      <c r="AE272" s="182">
        <f t="shared" si="863"/>
        <v>65.708436038004152</v>
      </c>
      <c r="AF272" s="182">
        <f t="shared" si="863"/>
        <v>47.81729575920582</v>
      </c>
      <c r="AG272" s="182">
        <f t="shared" si="863"/>
        <v>55.680118255079037</v>
      </c>
    </row>
    <row r="273" spans="2:33" x14ac:dyDescent="0.2">
      <c r="B273" s="159" t="s">
        <v>129</v>
      </c>
      <c r="C273" s="182"/>
      <c r="D273" s="182">
        <f t="shared" ref="D273:N273" si="864">D229-C229</f>
        <v>-13</v>
      </c>
      <c r="E273" s="182">
        <f t="shared" si="864"/>
        <v>-3</v>
      </c>
      <c r="F273" s="182">
        <f t="shared" si="864"/>
        <v>-16</v>
      </c>
      <c r="G273" s="182">
        <f t="shared" si="864"/>
        <v>2</v>
      </c>
      <c r="H273" s="182">
        <f t="shared" si="864"/>
        <v>-5</v>
      </c>
      <c r="I273" s="182">
        <f t="shared" si="864"/>
        <v>-2</v>
      </c>
      <c r="J273" s="182">
        <f t="shared" si="864"/>
        <v>-8</v>
      </c>
      <c r="K273" s="182">
        <f t="shared" si="864"/>
        <v>16</v>
      </c>
      <c r="L273" s="182">
        <f t="shared" si="864"/>
        <v>14</v>
      </c>
      <c r="M273" s="182">
        <f t="shared" si="864"/>
        <v>-5</v>
      </c>
      <c r="N273" s="182">
        <f t="shared" si="864"/>
        <v>-5</v>
      </c>
      <c r="O273" s="182">
        <v>15</v>
      </c>
      <c r="P273" s="182">
        <v>-2</v>
      </c>
      <c r="Q273" s="182">
        <v>-18</v>
      </c>
      <c r="R273" s="182">
        <f>R229-Q229</f>
        <v>2.1614654210458113</v>
      </c>
      <c r="S273" s="182">
        <f t="shared" si="862"/>
        <v>0.84031045370009139</v>
      </c>
      <c r="T273" s="182">
        <f t="shared" si="862"/>
        <v>1.965456606548166</v>
      </c>
      <c r="U273" s="182">
        <f t="shared" si="862"/>
        <v>0.48592309156178004</v>
      </c>
      <c r="V273" s="182">
        <f t="shared" si="862"/>
        <v>4.1012137364300969</v>
      </c>
      <c r="X273" s="169">
        <f t="shared" si="848"/>
        <v>-32</v>
      </c>
      <c r="Y273" s="169">
        <f t="shared" si="849"/>
        <v>-13</v>
      </c>
      <c r="Z273" s="169">
        <f t="shared" si="850"/>
        <v>20</v>
      </c>
      <c r="AA273" s="169">
        <f t="shared" si="851"/>
        <v>-2.8385345789541887</v>
      </c>
      <c r="AB273" s="169">
        <f t="shared" si="852"/>
        <v>7.3929038882401343</v>
      </c>
      <c r="AC273" s="182">
        <f t="shared" si="863"/>
        <v>11.929342532274006</v>
      </c>
      <c r="AD273" s="182">
        <f t="shared" si="863"/>
        <v>9.2762702994604069</v>
      </c>
      <c r="AE273" s="182">
        <f t="shared" si="863"/>
        <v>13.4611032161189</v>
      </c>
      <c r="AF273" s="182">
        <f t="shared" si="863"/>
        <v>9.7959043395595273</v>
      </c>
      <c r="AG273" s="182">
        <f t="shared" si="863"/>
        <v>11.406690892533547</v>
      </c>
    </row>
    <row r="274" spans="2:33" x14ac:dyDescent="0.2">
      <c r="B274" s="159" t="s">
        <v>130</v>
      </c>
      <c r="C274" s="182"/>
      <c r="D274" s="182">
        <f t="shared" ref="D274:N274" si="865">D231-C231</f>
        <v>-11</v>
      </c>
      <c r="E274" s="182">
        <f t="shared" si="865"/>
        <v>-31</v>
      </c>
      <c r="F274" s="182">
        <f t="shared" si="865"/>
        <v>-18</v>
      </c>
      <c r="G274" s="182">
        <f t="shared" si="865"/>
        <v>-12</v>
      </c>
      <c r="H274" s="182">
        <f t="shared" si="865"/>
        <v>5</v>
      </c>
      <c r="I274" s="182">
        <f t="shared" si="865"/>
        <v>64</v>
      </c>
      <c r="J274" s="182">
        <f t="shared" si="865"/>
        <v>-38</v>
      </c>
      <c r="K274" s="182">
        <f t="shared" si="865"/>
        <v>4</v>
      </c>
      <c r="L274" s="182">
        <f t="shared" si="865"/>
        <v>-37</v>
      </c>
      <c r="M274" s="182">
        <f t="shared" si="865"/>
        <v>20</v>
      </c>
      <c r="N274" s="182">
        <f t="shared" si="865"/>
        <v>11</v>
      </c>
      <c r="O274" s="182">
        <v>-2</v>
      </c>
      <c r="P274" s="182">
        <v>-15</v>
      </c>
      <c r="Q274" s="182">
        <v>-16</v>
      </c>
      <c r="R274" s="182">
        <f>R231-Q231</f>
        <v>8.3161466199558731</v>
      </c>
      <c r="S274" s="182">
        <f t="shared" ref="S274:V274" si="866">S231-R231</f>
        <v>3.233058864235943</v>
      </c>
      <c r="T274" s="182">
        <f t="shared" si="866"/>
        <v>7.5620110116344961</v>
      </c>
      <c r="U274" s="182">
        <f t="shared" si="866"/>
        <v>1.8695685048224391</v>
      </c>
      <c r="V274" s="182">
        <f t="shared" si="866"/>
        <v>15.779246070671689</v>
      </c>
      <c r="X274" s="169">
        <f t="shared" si="848"/>
        <v>-60</v>
      </c>
      <c r="Y274" s="169">
        <f t="shared" si="849"/>
        <v>19</v>
      </c>
      <c r="Z274" s="169">
        <f t="shared" si="850"/>
        <v>-2</v>
      </c>
      <c r="AA274" s="169">
        <f t="shared" si="851"/>
        <v>-24.683853380044127</v>
      </c>
      <c r="AB274" s="169">
        <f t="shared" si="852"/>
        <v>28.443884451364568</v>
      </c>
      <c r="AC274" s="182">
        <f t="shared" ref="AC274:AG274" si="867">AC231-AB231</f>
        <v>34.080034136856057</v>
      </c>
      <c r="AD274" s="182">
        <f t="shared" si="867"/>
        <v>34.328001127965933</v>
      </c>
      <c r="AE274" s="182">
        <f t="shared" si="867"/>
        <v>49.81449995193384</v>
      </c>
      <c r="AF274" s="182">
        <f t="shared" si="867"/>
        <v>36.250972035324082</v>
      </c>
      <c r="AG274" s="182">
        <f t="shared" si="867"/>
        <v>42.211889604815383</v>
      </c>
    </row>
    <row r="275" spans="2:33" x14ac:dyDescent="0.2">
      <c r="B275" s="159" t="s">
        <v>131</v>
      </c>
      <c r="C275" s="182"/>
      <c r="D275" s="182"/>
      <c r="E275" s="182"/>
      <c r="F275" s="182"/>
      <c r="G275" s="182"/>
      <c r="H275" s="182"/>
      <c r="I275" s="182"/>
      <c r="J275" s="182"/>
      <c r="K275" s="182"/>
      <c r="L275" s="182"/>
      <c r="M275" s="182"/>
      <c r="N275" s="182"/>
      <c r="O275" s="182">
        <v>-2</v>
      </c>
      <c r="P275" s="182">
        <v>-5</v>
      </c>
      <c r="Q275" s="182">
        <v>1</v>
      </c>
      <c r="R275" s="182"/>
      <c r="S275" s="182"/>
      <c r="T275" s="182"/>
      <c r="U275" s="182"/>
      <c r="V275" s="182"/>
      <c r="X275" s="169">
        <f t="shared" si="848"/>
        <v>0</v>
      </c>
      <c r="Y275" s="169">
        <f t="shared" si="849"/>
        <v>0</v>
      </c>
      <c r="Z275" s="169">
        <f t="shared" si="850"/>
        <v>0</v>
      </c>
      <c r="AA275" s="169">
        <f t="shared" si="851"/>
        <v>-6</v>
      </c>
      <c r="AB275" s="169">
        <f t="shared" si="852"/>
        <v>0</v>
      </c>
      <c r="AC275" s="182"/>
      <c r="AD275" s="182"/>
      <c r="AE275" s="182"/>
      <c r="AF275" s="182"/>
      <c r="AG275" s="182"/>
    </row>
    <row r="276" spans="2:33" x14ac:dyDescent="0.2">
      <c r="B276" s="159" t="s">
        <v>132</v>
      </c>
      <c r="C276" s="182"/>
      <c r="D276" s="182"/>
      <c r="E276" s="182"/>
      <c r="F276" s="182"/>
      <c r="G276" s="182"/>
      <c r="H276" s="182"/>
      <c r="I276" s="182"/>
      <c r="J276" s="182"/>
      <c r="K276" s="182"/>
      <c r="L276" s="182"/>
      <c r="M276" s="182"/>
      <c r="N276" s="182"/>
      <c r="O276" s="182">
        <v>-9</v>
      </c>
      <c r="P276" s="182">
        <v>-3</v>
      </c>
      <c r="Q276" s="182">
        <v>-8</v>
      </c>
      <c r="R276" s="182"/>
      <c r="S276" s="182"/>
      <c r="T276" s="182"/>
      <c r="U276" s="182"/>
      <c r="V276" s="182"/>
      <c r="X276" s="169">
        <f t="shared" si="848"/>
        <v>0</v>
      </c>
      <c r="Y276" s="169">
        <f t="shared" si="849"/>
        <v>0</v>
      </c>
      <c r="Z276" s="169">
        <f t="shared" si="850"/>
        <v>0</v>
      </c>
      <c r="AA276" s="169">
        <f t="shared" si="851"/>
        <v>-20</v>
      </c>
      <c r="AB276" s="169">
        <f t="shared" si="852"/>
        <v>0</v>
      </c>
      <c r="AC276" s="182"/>
      <c r="AD276" s="182"/>
      <c r="AE276" s="182"/>
      <c r="AF276" s="182"/>
      <c r="AG276" s="182"/>
    </row>
    <row r="277" spans="2:33" ht="15" x14ac:dyDescent="0.25">
      <c r="B277" s="160" t="s">
        <v>133</v>
      </c>
      <c r="C277" s="178">
        <v>-6</v>
      </c>
      <c r="D277" s="178">
        <v>85</v>
      </c>
      <c r="E277" s="178">
        <v>67</v>
      </c>
      <c r="F277" s="178">
        <v>303</v>
      </c>
      <c r="G277" s="178">
        <v>55</v>
      </c>
      <c r="H277" s="178">
        <v>158</v>
      </c>
      <c r="I277" s="178">
        <v>65</v>
      </c>
      <c r="J277" s="178">
        <v>455</v>
      </c>
      <c r="K277" s="178">
        <v>23</v>
      </c>
      <c r="L277" s="171">
        <v>229</v>
      </c>
      <c r="M277" s="171">
        <v>191</v>
      </c>
      <c r="N277" s="171">
        <v>458</v>
      </c>
      <c r="O277" s="171">
        <v>177</v>
      </c>
      <c r="P277" s="178">
        <f t="shared" ref="P277:V277" si="868">SUM(P256:P276)</f>
        <v>397</v>
      </c>
      <c r="Q277" s="178">
        <f t="shared" si="868"/>
        <v>244</v>
      </c>
      <c r="R277" s="178">
        <f t="shared" si="868"/>
        <v>342.83519960061358</v>
      </c>
      <c r="S277" s="178">
        <f t="shared" si="868"/>
        <v>363.58000246390071</v>
      </c>
      <c r="T277" s="178">
        <f t="shared" si="868"/>
        <v>383.23273676571705</v>
      </c>
      <c r="U277" s="178">
        <f t="shared" si="868"/>
        <v>449.09218965664252</v>
      </c>
      <c r="V277" s="178">
        <f t="shared" si="868"/>
        <v>426.5203183752609</v>
      </c>
      <c r="X277" s="171">
        <f t="shared" si="848"/>
        <v>449</v>
      </c>
      <c r="Y277" s="171">
        <f t="shared" si="849"/>
        <v>733</v>
      </c>
      <c r="Z277" s="171">
        <f t="shared" si="850"/>
        <v>901</v>
      </c>
      <c r="AA277" s="171">
        <f t="shared" si="851"/>
        <v>1160.8351996006136</v>
      </c>
      <c r="AB277" s="171">
        <f t="shared" si="852"/>
        <v>1622.4252472615212</v>
      </c>
      <c r="AC277" s="178">
        <f t="shared" ref="AC277:AG277" si="869">SUM(AC256:AC276)</f>
        <v>2161.6505559303005</v>
      </c>
      <c r="AD277" s="178">
        <f t="shared" si="869"/>
        <v>2674.9934944134989</v>
      </c>
      <c r="AE277" s="178">
        <f t="shared" si="869"/>
        <v>3209.4069152008979</v>
      </c>
      <c r="AF277" s="178">
        <f t="shared" si="869"/>
        <v>3808.9146574270785</v>
      </c>
      <c r="AG277" s="178">
        <f t="shared" si="869"/>
        <v>4408.6560912075092</v>
      </c>
    </row>
    <row r="278" spans="2:33" ht="15" x14ac:dyDescent="0.25">
      <c r="B278" s="160"/>
      <c r="C278" s="176"/>
      <c r="D278" s="176"/>
      <c r="E278" s="176"/>
      <c r="F278" s="176"/>
      <c r="G278" s="176"/>
      <c r="H278" s="176"/>
      <c r="I278" s="176"/>
      <c r="J278" s="176"/>
      <c r="K278" s="176"/>
      <c r="L278" s="169"/>
      <c r="M278" s="169"/>
      <c r="N278" s="169"/>
      <c r="O278" s="169"/>
      <c r="P278" s="176"/>
      <c r="Q278" s="176"/>
      <c r="X278" s="169"/>
      <c r="Y278" s="169"/>
      <c r="Z278" s="169"/>
      <c r="AA278" s="169"/>
      <c r="AB278" s="169"/>
    </row>
    <row r="279" spans="2:33" ht="15" x14ac:dyDescent="0.25">
      <c r="B279" s="160" t="s">
        <v>134</v>
      </c>
      <c r="C279" s="169"/>
      <c r="D279" s="169"/>
      <c r="E279" s="169"/>
      <c r="F279" s="169"/>
      <c r="G279" s="169"/>
      <c r="H279" s="169"/>
      <c r="I279" s="169"/>
      <c r="J279" s="169"/>
      <c r="K279" s="169"/>
      <c r="L279" s="169"/>
      <c r="M279" s="169"/>
      <c r="N279" s="169"/>
      <c r="O279" s="169"/>
      <c r="P279" s="169"/>
      <c r="Q279" s="169"/>
      <c r="R279" s="169"/>
      <c r="S279" s="169"/>
      <c r="T279" s="169"/>
      <c r="U279" s="169"/>
      <c r="V279" s="169"/>
      <c r="X279" s="169"/>
      <c r="Y279" s="169"/>
      <c r="Z279" s="169"/>
      <c r="AA279" s="169"/>
      <c r="AB279" s="169"/>
      <c r="AC279" s="169"/>
      <c r="AD279" s="169"/>
      <c r="AE279" s="169"/>
      <c r="AF279" s="169"/>
      <c r="AG279" s="169"/>
    </row>
    <row r="280" spans="2:33" x14ac:dyDescent="0.2">
      <c r="B280" s="159" t="s">
        <v>135</v>
      </c>
      <c r="C280" s="182"/>
      <c r="D280" s="182"/>
      <c r="E280" s="182"/>
      <c r="F280" s="182"/>
      <c r="G280" s="182"/>
      <c r="H280" s="182"/>
      <c r="I280" s="182"/>
      <c r="J280" s="182"/>
      <c r="K280" s="182"/>
      <c r="L280" s="182"/>
      <c r="M280" s="182"/>
      <c r="N280" s="182"/>
      <c r="O280" s="182">
        <v>0</v>
      </c>
      <c r="P280" s="182">
        <v>0</v>
      </c>
      <c r="Q280" s="182">
        <v>500</v>
      </c>
      <c r="R280" s="182">
        <v>0</v>
      </c>
      <c r="S280" s="182">
        <v>0</v>
      </c>
      <c r="T280" s="182">
        <v>0</v>
      </c>
      <c r="U280" s="182">
        <v>0</v>
      </c>
      <c r="V280" s="182">
        <v>0</v>
      </c>
      <c r="X280" s="169">
        <f t="shared" ref="X280:X289" si="870">SUM(C280:F280)</f>
        <v>0</v>
      </c>
      <c r="Y280" s="169">
        <f t="shared" ref="Y280:Y289" si="871">SUM(G280:J280)</f>
        <v>0</v>
      </c>
      <c r="Z280" s="169">
        <f t="shared" ref="Z280:Z289" si="872">SUM(K280:N280)</f>
        <v>0</v>
      </c>
      <c r="AA280" s="169">
        <f t="shared" ref="AA280:AA289" si="873">SUM(O280:R280)</f>
        <v>500</v>
      </c>
      <c r="AB280" s="169">
        <f t="shared" ref="AB280:AB289" si="874">SUM(S280:V280)</f>
        <v>0</v>
      </c>
      <c r="AC280" s="182">
        <v>0</v>
      </c>
      <c r="AD280" s="182">
        <v>0</v>
      </c>
      <c r="AE280" s="182">
        <v>0</v>
      </c>
      <c r="AF280" s="182">
        <v>0</v>
      </c>
      <c r="AG280" s="182">
        <v>0</v>
      </c>
    </row>
    <row r="281" spans="2:33" x14ac:dyDescent="0.2">
      <c r="B281" s="159" t="s">
        <v>136</v>
      </c>
      <c r="C281" s="245">
        <v>-363</v>
      </c>
      <c r="D281" s="245">
        <v>-476</v>
      </c>
      <c r="E281" s="245">
        <v>-652</v>
      </c>
      <c r="F281" s="245">
        <v>-56</v>
      </c>
      <c r="G281" s="245">
        <v>-3</v>
      </c>
      <c r="H281" s="245">
        <v>-61</v>
      </c>
      <c r="I281" s="245">
        <v>0</v>
      </c>
      <c r="J281" s="245">
        <v>-10</v>
      </c>
      <c r="K281" s="245">
        <v>-176</v>
      </c>
      <c r="L281" s="182">
        <v>0</v>
      </c>
      <c r="M281" s="182">
        <v>-200</v>
      </c>
      <c r="N281" s="182">
        <v>-500</v>
      </c>
      <c r="O281" s="182">
        <v>0</v>
      </c>
      <c r="P281" s="245">
        <v>-23</v>
      </c>
      <c r="Q281" s="245">
        <v>-782</v>
      </c>
      <c r="R281" s="182">
        <v>0</v>
      </c>
      <c r="S281" s="182">
        <v>0</v>
      </c>
      <c r="T281" s="182">
        <v>0</v>
      </c>
      <c r="U281" s="182">
        <v>0</v>
      </c>
      <c r="V281" s="182">
        <v>0</v>
      </c>
      <c r="X281" s="169">
        <f t="shared" si="870"/>
        <v>-1547</v>
      </c>
      <c r="Y281" s="169">
        <f t="shared" si="871"/>
        <v>-74</v>
      </c>
      <c r="Z281" s="169">
        <f t="shared" si="872"/>
        <v>-876</v>
      </c>
      <c r="AA281" s="169">
        <f t="shared" si="873"/>
        <v>-805</v>
      </c>
      <c r="AB281" s="169">
        <f t="shared" si="874"/>
        <v>0</v>
      </c>
      <c r="AC281" s="182">
        <v>0</v>
      </c>
      <c r="AD281" s="182">
        <v>0</v>
      </c>
      <c r="AE281" s="182">
        <v>0</v>
      </c>
      <c r="AF281" s="182">
        <v>0</v>
      </c>
      <c r="AG281" s="182">
        <v>0</v>
      </c>
    </row>
    <row r="282" spans="2:33" x14ac:dyDescent="0.2">
      <c r="B282" s="159" t="s">
        <v>137</v>
      </c>
      <c r="C282" s="182"/>
      <c r="D282" s="182"/>
      <c r="E282" s="182"/>
      <c r="F282" s="182"/>
      <c r="G282" s="182"/>
      <c r="H282" s="182"/>
      <c r="I282" s="182"/>
      <c r="J282" s="182"/>
      <c r="K282" s="182"/>
      <c r="L282" s="182"/>
      <c r="M282" s="182"/>
      <c r="N282" s="182"/>
      <c r="O282" s="182">
        <v>0</v>
      </c>
      <c r="P282" s="182">
        <v>0</v>
      </c>
      <c r="Q282" s="182">
        <v>-5</v>
      </c>
      <c r="R282" s="182">
        <v>0</v>
      </c>
      <c r="S282" s="182">
        <v>0</v>
      </c>
      <c r="T282" s="182">
        <v>0</v>
      </c>
      <c r="U282" s="182">
        <v>0</v>
      </c>
      <c r="V282" s="182">
        <v>0</v>
      </c>
      <c r="X282" s="169">
        <f t="shared" si="870"/>
        <v>0</v>
      </c>
      <c r="Y282" s="169">
        <f t="shared" si="871"/>
        <v>0</v>
      </c>
      <c r="Z282" s="169">
        <f t="shared" si="872"/>
        <v>0</v>
      </c>
      <c r="AA282" s="169">
        <f t="shared" si="873"/>
        <v>-5</v>
      </c>
      <c r="AB282" s="169">
        <f t="shared" si="874"/>
        <v>0</v>
      </c>
      <c r="AC282" s="182">
        <v>0</v>
      </c>
      <c r="AD282" s="182">
        <v>0</v>
      </c>
      <c r="AE282" s="182">
        <v>0</v>
      </c>
      <c r="AF282" s="182">
        <v>0</v>
      </c>
      <c r="AG282" s="182">
        <v>0</v>
      </c>
    </row>
    <row r="283" spans="2:33" x14ac:dyDescent="0.2">
      <c r="B283" s="159" t="s">
        <v>138</v>
      </c>
      <c r="C283" s="182"/>
      <c r="D283" s="245"/>
      <c r="E283" s="245"/>
      <c r="F283" s="245"/>
      <c r="G283" s="245"/>
      <c r="H283" s="245"/>
      <c r="I283" s="245"/>
      <c r="J283" s="245"/>
      <c r="K283" s="245"/>
      <c r="L283" s="182"/>
      <c r="M283" s="182"/>
      <c r="N283" s="182"/>
      <c r="O283" s="182">
        <v>0</v>
      </c>
      <c r="P283" s="245">
        <v>0</v>
      </c>
      <c r="Q283" s="245">
        <v>-5</v>
      </c>
      <c r="R283" s="182">
        <v>0</v>
      </c>
      <c r="S283" s="182">
        <v>0</v>
      </c>
      <c r="T283" s="182">
        <v>0</v>
      </c>
      <c r="U283" s="182">
        <v>0</v>
      </c>
      <c r="V283" s="182">
        <v>0</v>
      </c>
      <c r="X283" s="169">
        <f t="shared" si="870"/>
        <v>0</v>
      </c>
      <c r="Y283" s="169">
        <f t="shared" si="871"/>
        <v>0</v>
      </c>
      <c r="Z283" s="169">
        <f t="shared" si="872"/>
        <v>0</v>
      </c>
      <c r="AA283" s="169">
        <f t="shared" si="873"/>
        <v>-5</v>
      </c>
      <c r="AB283" s="169">
        <f t="shared" si="874"/>
        <v>0</v>
      </c>
      <c r="AC283" s="182">
        <v>0</v>
      </c>
      <c r="AD283" s="182">
        <v>0</v>
      </c>
      <c r="AE283" s="182">
        <v>0</v>
      </c>
      <c r="AF283" s="182">
        <v>0</v>
      </c>
      <c r="AG283" s="182">
        <v>0</v>
      </c>
    </row>
    <row r="284" spans="2:33" x14ac:dyDescent="0.2">
      <c r="B284" s="159" t="s">
        <v>139</v>
      </c>
      <c r="C284" s="182">
        <v>-22</v>
      </c>
      <c r="D284" s="245">
        <v>0</v>
      </c>
      <c r="E284" s="245">
        <v>-200</v>
      </c>
      <c r="F284" s="245">
        <v>-25</v>
      </c>
      <c r="G284" s="245">
        <v>-205</v>
      </c>
      <c r="H284" s="245">
        <v>-175</v>
      </c>
      <c r="I284" s="245">
        <v>-82</v>
      </c>
      <c r="J284" s="245">
        <v>-101</v>
      </c>
      <c r="K284" s="245">
        <v>-64</v>
      </c>
      <c r="L284" s="182">
        <v>-26</v>
      </c>
      <c r="M284" s="182">
        <v>-174</v>
      </c>
      <c r="N284" s="182">
        <v>-27</v>
      </c>
      <c r="O284" s="182">
        <v>-150</v>
      </c>
      <c r="P284" s="245">
        <v>-60</v>
      </c>
      <c r="Q284" s="341">
        <v>-100</v>
      </c>
      <c r="R284" s="222">
        <v>-125</v>
      </c>
      <c r="S284" s="222">
        <v>-125</v>
      </c>
      <c r="T284" s="222">
        <v>-125</v>
      </c>
      <c r="U284" s="222">
        <v>-125</v>
      </c>
      <c r="V284" s="222">
        <v>-125</v>
      </c>
      <c r="X284" s="169">
        <f t="shared" si="870"/>
        <v>-247</v>
      </c>
      <c r="Y284" s="169">
        <f t="shared" si="871"/>
        <v>-563</v>
      </c>
      <c r="Z284" s="169">
        <f t="shared" si="872"/>
        <v>-291</v>
      </c>
      <c r="AA284" s="169">
        <f t="shared" si="873"/>
        <v>-435</v>
      </c>
      <c r="AB284" s="169">
        <f t="shared" si="874"/>
        <v>-500</v>
      </c>
      <c r="AC284" s="222">
        <v>-750</v>
      </c>
      <c r="AD284" s="222">
        <v>-750</v>
      </c>
      <c r="AE284" s="222">
        <v>-500</v>
      </c>
      <c r="AF284" s="222">
        <f t="shared" ref="AF284:AG284" si="875">AE284</f>
        <v>-500</v>
      </c>
      <c r="AG284" s="222">
        <f t="shared" si="875"/>
        <v>-500</v>
      </c>
    </row>
    <row r="285" spans="2:33" x14ac:dyDescent="0.2">
      <c r="B285" s="159" t="s">
        <v>140</v>
      </c>
      <c r="C285" s="245"/>
      <c r="D285" s="245"/>
      <c r="E285" s="245"/>
      <c r="F285" s="245"/>
      <c r="G285" s="245"/>
      <c r="H285" s="245"/>
      <c r="I285" s="245"/>
      <c r="J285" s="245"/>
      <c r="K285" s="245"/>
      <c r="L285" s="182"/>
      <c r="M285" s="182"/>
      <c r="N285" s="182"/>
      <c r="O285" s="182">
        <v>5</v>
      </c>
      <c r="P285" s="245">
        <v>1</v>
      </c>
      <c r="Q285" s="245">
        <v>1</v>
      </c>
      <c r="R285" s="182">
        <v>0</v>
      </c>
      <c r="S285" s="182">
        <v>0</v>
      </c>
      <c r="T285" s="182">
        <v>0</v>
      </c>
      <c r="U285" s="182">
        <v>0</v>
      </c>
      <c r="V285" s="182">
        <v>0</v>
      </c>
      <c r="X285" s="169">
        <f t="shared" si="870"/>
        <v>0</v>
      </c>
      <c r="Y285" s="169">
        <f t="shared" si="871"/>
        <v>0</v>
      </c>
      <c r="Z285" s="169">
        <f t="shared" si="872"/>
        <v>0</v>
      </c>
      <c r="AA285" s="169">
        <f t="shared" si="873"/>
        <v>7</v>
      </c>
      <c r="AB285" s="169">
        <f t="shared" si="874"/>
        <v>0</v>
      </c>
      <c r="AC285" s="182">
        <v>0</v>
      </c>
      <c r="AD285" s="182">
        <v>0</v>
      </c>
      <c r="AE285" s="182">
        <v>0</v>
      </c>
      <c r="AF285" s="182">
        <v>0</v>
      </c>
      <c r="AG285" s="182">
        <v>0</v>
      </c>
    </row>
    <row r="286" spans="2:33" x14ac:dyDescent="0.2">
      <c r="B286" s="159" t="s">
        <v>141</v>
      </c>
      <c r="C286" s="245">
        <v>-1</v>
      </c>
      <c r="D286" s="245">
        <v>0</v>
      </c>
      <c r="E286" s="245">
        <v>-10</v>
      </c>
      <c r="F286" s="245">
        <v>-8</v>
      </c>
      <c r="G286" s="245">
        <v>-9</v>
      </c>
      <c r="H286" s="245">
        <v>-9</v>
      </c>
      <c r="I286" s="245">
        <v>-9</v>
      </c>
      <c r="J286" s="245">
        <v>-17</v>
      </c>
      <c r="K286" s="245">
        <v>-17</v>
      </c>
      <c r="L286" s="182">
        <v>-18</v>
      </c>
      <c r="M286" s="182">
        <v>-17</v>
      </c>
      <c r="N286" s="182">
        <v>-21</v>
      </c>
      <c r="O286" s="182">
        <v>-21</v>
      </c>
      <c r="P286" s="245">
        <v>-21</v>
      </c>
      <c r="Q286" s="245">
        <v>-34</v>
      </c>
      <c r="R286" s="182">
        <f>-R322*R199</f>
        <v>-33.918442439860655</v>
      </c>
      <c r="S286" s="182">
        <f t="shared" ref="S286:V286" si="876">-S322*S199</f>
        <v>-33.836884879721303</v>
      </c>
      <c r="T286" s="182">
        <f t="shared" si="876"/>
        <v>-33.755327319581959</v>
      </c>
      <c r="U286" s="182">
        <f t="shared" si="876"/>
        <v>-33.673769759442614</v>
      </c>
      <c r="V286" s="182">
        <f t="shared" si="876"/>
        <v>-33.592212199303262</v>
      </c>
      <c r="X286" s="169">
        <f t="shared" si="870"/>
        <v>-19</v>
      </c>
      <c r="Y286" s="169">
        <f t="shared" si="871"/>
        <v>-44</v>
      </c>
      <c r="Z286" s="169">
        <f t="shared" si="872"/>
        <v>-73</v>
      </c>
      <c r="AA286" s="169">
        <f t="shared" si="873"/>
        <v>-109.91844243986066</v>
      </c>
      <c r="AB286" s="169">
        <f t="shared" si="874"/>
        <v>-134.85819415804912</v>
      </c>
      <c r="AC286" s="182">
        <f t="shared" ref="AC286:AG286" si="877">-AC322*AC199</f>
        <v>-148.34401357385406</v>
      </c>
      <c r="AD286" s="182">
        <f t="shared" si="877"/>
        <v>-222.51602036078108</v>
      </c>
      <c r="AE286" s="182">
        <f t="shared" si="877"/>
        <v>-289.27082646901539</v>
      </c>
      <c r="AF286" s="182">
        <f t="shared" si="877"/>
        <v>-289.27082646901539</v>
      </c>
      <c r="AG286" s="182">
        <f t="shared" si="877"/>
        <v>-289.27082646901539</v>
      </c>
    </row>
    <row r="287" spans="2:33" x14ac:dyDescent="0.2">
      <c r="B287" s="159" t="s">
        <v>142</v>
      </c>
      <c r="C287" s="182"/>
      <c r="D287" s="182"/>
      <c r="E287" s="182"/>
      <c r="F287" s="182"/>
      <c r="G287" s="182"/>
      <c r="H287" s="182"/>
      <c r="I287" s="182"/>
      <c r="J287" s="182"/>
      <c r="K287" s="182"/>
      <c r="L287" s="182"/>
      <c r="M287" s="182"/>
      <c r="N287" s="182"/>
      <c r="O287" s="182">
        <v>-12</v>
      </c>
      <c r="P287" s="182">
        <v>-20</v>
      </c>
      <c r="Q287" s="182">
        <v>-16</v>
      </c>
      <c r="R287" s="246"/>
      <c r="S287" s="246"/>
      <c r="T287" s="246"/>
      <c r="U287" s="246"/>
      <c r="V287" s="246"/>
      <c r="X287" s="169">
        <f t="shared" si="870"/>
        <v>0</v>
      </c>
      <c r="Y287" s="169">
        <f t="shared" si="871"/>
        <v>0</v>
      </c>
      <c r="Z287" s="169">
        <f t="shared" si="872"/>
        <v>0</v>
      </c>
      <c r="AA287" s="169">
        <f t="shared" si="873"/>
        <v>-48</v>
      </c>
      <c r="AB287" s="169">
        <f t="shared" si="874"/>
        <v>0</v>
      </c>
      <c r="AC287" s="246"/>
      <c r="AD287" s="246"/>
      <c r="AE287" s="246"/>
      <c r="AF287" s="246"/>
      <c r="AG287" s="246"/>
    </row>
    <row r="288" spans="2:33" x14ac:dyDescent="0.2">
      <c r="B288" s="159" t="s">
        <v>122</v>
      </c>
      <c r="C288" s="245"/>
      <c r="D288" s="245"/>
      <c r="E288" s="245"/>
      <c r="F288" s="245"/>
      <c r="G288" s="245"/>
      <c r="H288" s="245"/>
      <c r="I288" s="245"/>
      <c r="J288" s="245"/>
      <c r="K288" s="245"/>
      <c r="L288" s="182"/>
      <c r="M288" s="182"/>
      <c r="N288" s="182"/>
      <c r="O288" s="182"/>
      <c r="P288" s="182">
        <v>0</v>
      </c>
      <c r="Q288" s="182">
        <v>0</v>
      </c>
      <c r="R288" s="246"/>
      <c r="S288" s="246"/>
      <c r="T288" s="246"/>
      <c r="U288" s="246"/>
      <c r="V288" s="246"/>
      <c r="X288" s="169">
        <f t="shared" si="870"/>
        <v>0</v>
      </c>
      <c r="Y288" s="169">
        <f t="shared" si="871"/>
        <v>0</v>
      </c>
      <c r="Z288" s="169">
        <f t="shared" si="872"/>
        <v>0</v>
      </c>
      <c r="AA288" s="169">
        <f t="shared" si="873"/>
        <v>0</v>
      </c>
      <c r="AB288" s="169">
        <f t="shared" si="874"/>
        <v>0</v>
      </c>
      <c r="AC288" s="246"/>
      <c r="AD288" s="246"/>
      <c r="AE288" s="246"/>
      <c r="AF288" s="246"/>
      <c r="AG288" s="246"/>
    </row>
    <row r="289" spans="2:33" ht="15" x14ac:dyDescent="0.25">
      <c r="B289" s="160" t="s">
        <v>143</v>
      </c>
      <c r="C289" s="178">
        <v>-368</v>
      </c>
      <c r="D289" s="178">
        <v>-700</v>
      </c>
      <c r="E289" s="178">
        <v>-106</v>
      </c>
      <c r="F289" s="178">
        <v>-270</v>
      </c>
      <c r="G289" s="178">
        <v>-194</v>
      </c>
      <c r="H289" s="178">
        <v>-137</v>
      </c>
      <c r="I289" s="178">
        <v>-106</v>
      </c>
      <c r="J289" s="178">
        <v>-89</v>
      </c>
      <c r="K289" s="178">
        <v>-214</v>
      </c>
      <c r="L289" s="171">
        <v>-189</v>
      </c>
      <c r="M289" s="171">
        <v>-243</v>
      </c>
      <c r="N289" s="171">
        <v>-222</v>
      </c>
      <c r="O289" s="178">
        <f>SUM(O280:O288)</f>
        <v>-178</v>
      </c>
      <c r="P289" s="178">
        <f>SUM(P280:P288)</f>
        <v>-123</v>
      </c>
      <c r="Q289" s="178">
        <f>SUM(Q280:Q288)</f>
        <v>-441</v>
      </c>
      <c r="R289" s="178">
        <f t="shared" ref="R289:V289" si="878">SUM(R280:R288)</f>
        <v>-158.91844243986066</v>
      </c>
      <c r="S289" s="178">
        <f t="shared" si="878"/>
        <v>-158.83688487972131</v>
      </c>
      <c r="T289" s="178">
        <f t="shared" si="878"/>
        <v>-158.75532731958197</v>
      </c>
      <c r="U289" s="178">
        <f t="shared" si="878"/>
        <v>-158.67376975944262</v>
      </c>
      <c r="V289" s="178">
        <f t="shared" si="878"/>
        <v>-158.59221219930328</v>
      </c>
      <c r="X289" s="171">
        <f t="shared" si="870"/>
        <v>-1444</v>
      </c>
      <c r="Y289" s="171">
        <f t="shared" si="871"/>
        <v>-526</v>
      </c>
      <c r="Z289" s="171">
        <f t="shared" si="872"/>
        <v>-868</v>
      </c>
      <c r="AA289" s="171">
        <f t="shared" si="873"/>
        <v>-900.91844243986066</v>
      </c>
      <c r="AB289" s="171">
        <f t="shared" si="874"/>
        <v>-634.85819415804917</v>
      </c>
      <c r="AC289" s="178">
        <f t="shared" ref="AC289:AG289" si="879">SUM(AC280:AC288)</f>
        <v>-898.344013573854</v>
      </c>
      <c r="AD289" s="178">
        <f t="shared" si="879"/>
        <v>-972.51602036078111</v>
      </c>
      <c r="AE289" s="178">
        <f t="shared" si="879"/>
        <v>-789.27082646901545</v>
      </c>
      <c r="AF289" s="178">
        <f t="shared" si="879"/>
        <v>-789.27082646901545</v>
      </c>
      <c r="AG289" s="178">
        <f t="shared" si="879"/>
        <v>-789.27082646901545</v>
      </c>
    </row>
    <row r="290" spans="2:33" ht="15" x14ac:dyDescent="0.25">
      <c r="B290" s="160"/>
      <c r="C290" s="176"/>
      <c r="D290" s="176"/>
      <c r="E290" s="176"/>
      <c r="F290" s="176"/>
      <c r="G290" s="176"/>
      <c r="H290" s="176"/>
      <c r="I290" s="176"/>
      <c r="J290" s="176"/>
      <c r="K290" s="176"/>
      <c r="L290" s="169"/>
      <c r="M290" s="169"/>
      <c r="N290" s="169"/>
      <c r="O290" s="169"/>
      <c r="P290" s="176"/>
      <c r="Q290" s="176"/>
      <c r="X290" s="169"/>
      <c r="Y290" s="169"/>
      <c r="Z290" s="169"/>
      <c r="AA290" s="169"/>
      <c r="AB290" s="169"/>
    </row>
    <row r="291" spans="2:33" ht="15" x14ac:dyDescent="0.25">
      <c r="B291" s="160" t="s">
        <v>144</v>
      </c>
      <c r="C291" s="169"/>
      <c r="D291" s="169"/>
      <c r="E291" s="169"/>
      <c r="F291" s="169"/>
      <c r="G291" s="169"/>
      <c r="H291" s="169"/>
      <c r="I291" s="169"/>
      <c r="J291" s="169"/>
      <c r="K291" s="169"/>
      <c r="L291" s="169"/>
      <c r="M291" s="169"/>
      <c r="N291" s="169"/>
      <c r="O291" s="169"/>
      <c r="P291" s="176"/>
      <c r="Q291" s="176"/>
      <c r="X291" s="169"/>
      <c r="Y291" s="169"/>
      <c r="Z291" s="169"/>
      <c r="AA291" s="169"/>
      <c r="AB291" s="169"/>
    </row>
    <row r="292" spans="2:33" x14ac:dyDescent="0.2">
      <c r="B292" s="159" t="s">
        <v>145</v>
      </c>
      <c r="C292" s="182">
        <v>-55</v>
      </c>
      <c r="D292" s="182">
        <v>-55</v>
      </c>
      <c r="E292" s="182">
        <v>-47</v>
      </c>
      <c r="F292" s="182">
        <v>-61</v>
      </c>
      <c r="G292" s="182">
        <v>-62</v>
      </c>
      <c r="H292" s="182">
        <v>-44</v>
      </c>
      <c r="I292" s="182">
        <v>-42</v>
      </c>
      <c r="J292" s="182">
        <v>-45</v>
      </c>
      <c r="K292" s="182">
        <v>-64</v>
      </c>
      <c r="L292" s="182">
        <v>-41</v>
      </c>
      <c r="M292" s="182">
        <v>-59</v>
      </c>
      <c r="N292" s="182">
        <v>-82</v>
      </c>
      <c r="O292" s="182">
        <v>-82</v>
      </c>
      <c r="P292" s="182">
        <v>-55</v>
      </c>
      <c r="Q292" s="182">
        <v>-82</v>
      </c>
      <c r="R292" s="175">
        <f>R325*-R122</f>
        <v>-85.004070585182305</v>
      </c>
      <c r="S292" s="175">
        <f t="shared" ref="S292:V292" si="880">S325*-S122</f>
        <v>-86.171959690324798</v>
      </c>
      <c r="T292" s="175">
        <f t="shared" si="880"/>
        <v>-88.903611245188358</v>
      </c>
      <c r="U292" s="175">
        <f t="shared" si="880"/>
        <v>-89.578961982613208</v>
      </c>
      <c r="V292" s="175">
        <f t="shared" si="880"/>
        <v>-95.278953955278752</v>
      </c>
      <c r="X292" s="169">
        <f t="shared" ref="X292:X295" si="881">SUM(C292:F292)</f>
        <v>-218</v>
      </c>
      <c r="Y292" s="169">
        <f t="shared" ref="Y292:Y295" si="882">SUM(G292:J292)</f>
        <v>-193</v>
      </c>
      <c r="Z292" s="169">
        <f t="shared" ref="Z292:Z295" si="883">SUM(K292:N292)</f>
        <v>-246</v>
      </c>
      <c r="AA292" s="169">
        <f t="shared" ref="AA292:AA295" si="884">SUM(O292:R292)</f>
        <v>-304.00407058518232</v>
      </c>
      <c r="AB292" s="169">
        <f t="shared" ref="AB292:AB295" si="885">SUM(S292:V292)</f>
        <v>-359.93348687340517</v>
      </c>
      <c r="AC292" s="175">
        <f t="shared" ref="AC292:AG292" si="886">AC325*-AC122</f>
        <v>-378.24859101126873</v>
      </c>
      <c r="AD292" s="175">
        <f t="shared" si="886"/>
        <v>-369.11367216468943</v>
      </c>
      <c r="AE292" s="175">
        <f t="shared" si="886"/>
        <v>-363.83041865525757</v>
      </c>
      <c r="AF292" s="175">
        <f t="shared" si="886"/>
        <v>-331.96559383706438</v>
      </c>
      <c r="AG292" s="175">
        <f t="shared" si="886"/>
        <v>-292.37643738376249</v>
      </c>
    </row>
    <row r="293" spans="2:33" x14ac:dyDescent="0.2">
      <c r="B293" s="159" t="s">
        <v>146</v>
      </c>
      <c r="C293" s="182">
        <v>0</v>
      </c>
      <c r="D293" s="182"/>
      <c r="E293" s="182"/>
      <c r="F293" s="182"/>
      <c r="G293" s="182"/>
      <c r="H293" s="182"/>
      <c r="I293" s="182"/>
      <c r="J293" s="182"/>
      <c r="K293" s="182">
        <v>0</v>
      </c>
      <c r="L293" s="182"/>
      <c r="M293" s="182"/>
      <c r="N293" s="182"/>
      <c r="O293" s="182">
        <v>7</v>
      </c>
      <c r="P293" s="182">
        <v>1</v>
      </c>
      <c r="Q293" s="182">
        <v>1</v>
      </c>
      <c r="R293" s="187">
        <v>0</v>
      </c>
      <c r="S293" s="187">
        <v>0</v>
      </c>
      <c r="T293" s="187">
        <v>0</v>
      </c>
      <c r="U293" s="187">
        <v>0</v>
      </c>
      <c r="V293" s="187">
        <v>0</v>
      </c>
      <c r="X293" s="169">
        <f t="shared" si="881"/>
        <v>0</v>
      </c>
      <c r="Y293" s="169">
        <f t="shared" si="882"/>
        <v>0</v>
      </c>
      <c r="Z293" s="169">
        <f t="shared" si="883"/>
        <v>0</v>
      </c>
      <c r="AA293" s="169">
        <f t="shared" si="884"/>
        <v>9</v>
      </c>
      <c r="AB293" s="169">
        <f t="shared" si="885"/>
        <v>0</v>
      </c>
      <c r="AC293" s="187">
        <v>0</v>
      </c>
      <c r="AD293" s="187">
        <v>0</v>
      </c>
      <c r="AE293" s="187">
        <v>0</v>
      </c>
      <c r="AF293" s="187">
        <v>0</v>
      </c>
      <c r="AG293" s="187">
        <v>0</v>
      </c>
    </row>
    <row r="294" spans="2:33" x14ac:dyDescent="0.2">
      <c r="B294" s="159" t="s">
        <v>122</v>
      </c>
      <c r="C294" s="182">
        <f>57+1</f>
        <v>58</v>
      </c>
      <c r="D294" s="182"/>
      <c r="E294" s="182"/>
      <c r="F294" s="182"/>
      <c r="G294" s="182"/>
      <c r="H294" s="182"/>
      <c r="I294" s="182"/>
      <c r="J294" s="182"/>
      <c r="K294" s="182"/>
      <c r="L294" s="182"/>
      <c r="M294" s="182"/>
      <c r="N294" s="182"/>
      <c r="O294" s="182"/>
      <c r="P294" s="182">
        <v>0</v>
      </c>
      <c r="Q294" s="182">
        <v>1</v>
      </c>
      <c r="R294" s="187">
        <v>0</v>
      </c>
      <c r="S294" s="187">
        <v>0</v>
      </c>
      <c r="T294" s="187">
        <v>0</v>
      </c>
      <c r="U294" s="187">
        <v>0</v>
      </c>
      <c r="V294" s="187">
        <v>0</v>
      </c>
      <c r="X294" s="169">
        <f t="shared" si="881"/>
        <v>58</v>
      </c>
      <c r="Y294" s="169">
        <f t="shared" si="882"/>
        <v>0</v>
      </c>
      <c r="Z294" s="169">
        <f t="shared" si="883"/>
        <v>0</v>
      </c>
      <c r="AA294" s="169">
        <f t="shared" si="884"/>
        <v>1</v>
      </c>
      <c r="AB294" s="169">
        <f t="shared" si="885"/>
        <v>0</v>
      </c>
      <c r="AC294" s="187">
        <v>0</v>
      </c>
      <c r="AD294" s="187">
        <v>0</v>
      </c>
      <c r="AE294" s="187">
        <v>0</v>
      </c>
      <c r="AF294" s="187">
        <v>0</v>
      </c>
      <c r="AG294" s="187">
        <v>0</v>
      </c>
    </row>
    <row r="295" spans="2:33" ht="15" x14ac:dyDescent="0.25">
      <c r="B295" s="160" t="s">
        <v>147</v>
      </c>
      <c r="C295" s="178">
        <v>3</v>
      </c>
      <c r="D295" s="178">
        <v>91</v>
      </c>
      <c r="E295" s="178">
        <v>50</v>
      </c>
      <c r="F295" s="178">
        <v>-37</v>
      </c>
      <c r="G295" s="178">
        <v>-61</v>
      </c>
      <c r="H295" s="178">
        <v>-4</v>
      </c>
      <c r="I295" s="178">
        <v>-41</v>
      </c>
      <c r="J295" s="178">
        <v>-29</v>
      </c>
      <c r="K295" s="178">
        <v>-64</v>
      </c>
      <c r="L295" s="171">
        <v>-41</v>
      </c>
      <c r="M295" s="171">
        <v>-58</v>
      </c>
      <c r="N295" s="171">
        <v>-52</v>
      </c>
      <c r="O295" s="178">
        <f>SUM(O292:O294)</f>
        <v>-75</v>
      </c>
      <c r="P295" s="178">
        <f>SUM(P292:P294)</f>
        <v>-54</v>
      </c>
      <c r="Q295" s="178">
        <f>SUM(Q292:Q294)</f>
        <v>-80</v>
      </c>
      <c r="R295" s="178">
        <f t="shared" ref="R295:V295" si="887">SUM(R292:R294)</f>
        <v>-85.004070585182305</v>
      </c>
      <c r="S295" s="178">
        <f t="shared" si="887"/>
        <v>-86.171959690324798</v>
      </c>
      <c r="T295" s="178">
        <f t="shared" si="887"/>
        <v>-88.903611245188358</v>
      </c>
      <c r="U295" s="178">
        <f t="shared" si="887"/>
        <v>-89.578961982613208</v>
      </c>
      <c r="V295" s="178">
        <f t="shared" si="887"/>
        <v>-95.278953955278752</v>
      </c>
      <c r="X295" s="171">
        <f t="shared" si="881"/>
        <v>107</v>
      </c>
      <c r="Y295" s="171">
        <f t="shared" si="882"/>
        <v>-135</v>
      </c>
      <c r="Z295" s="171">
        <f t="shared" si="883"/>
        <v>-215</v>
      </c>
      <c r="AA295" s="171">
        <f t="shared" si="884"/>
        <v>-294.00407058518232</v>
      </c>
      <c r="AB295" s="171">
        <f t="shared" si="885"/>
        <v>-359.93348687340517</v>
      </c>
      <c r="AC295" s="178">
        <f t="shared" ref="AC295:AG295" si="888">SUM(AC292:AC294)</f>
        <v>-378.24859101126873</v>
      </c>
      <c r="AD295" s="178">
        <f t="shared" si="888"/>
        <v>-369.11367216468943</v>
      </c>
      <c r="AE295" s="178">
        <f t="shared" si="888"/>
        <v>-363.83041865525757</v>
      </c>
      <c r="AF295" s="178">
        <f t="shared" si="888"/>
        <v>-331.96559383706438</v>
      </c>
      <c r="AG295" s="178">
        <f t="shared" si="888"/>
        <v>-292.37643738376249</v>
      </c>
    </row>
    <row r="296" spans="2:33" ht="15" x14ac:dyDescent="0.25">
      <c r="B296" s="160"/>
      <c r="C296" s="176"/>
      <c r="D296" s="176"/>
      <c r="E296" s="176"/>
      <c r="F296" s="176"/>
      <c r="G296" s="176"/>
      <c r="H296" s="176"/>
      <c r="I296" s="176"/>
      <c r="J296" s="176"/>
      <c r="K296" s="176"/>
      <c r="L296" s="169"/>
      <c r="M296" s="169"/>
      <c r="N296" s="169"/>
      <c r="O296" s="169"/>
      <c r="P296" s="176"/>
      <c r="Q296" s="176"/>
      <c r="X296" s="169"/>
      <c r="Y296" s="169"/>
      <c r="Z296" s="169"/>
      <c r="AA296" s="169"/>
      <c r="AB296" s="169"/>
    </row>
    <row r="297" spans="2:33" x14ac:dyDescent="0.2">
      <c r="B297" s="179" t="s">
        <v>148</v>
      </c>
      <c r="C297" s="176">
        <v>-1</v>
      </c>
      <c r="D297" s="176"/>
      <c r="E297" s="176"/>
      <c r="F297" s="176"/>
      <c r="G297" s="176"/>
      <c r="H297" s="176"/>
      <c r="I297" s="176"/>
      <c r="J297" s="176"/>
      <c r="K297" s="176"/>
      <c r="L297" s="169"/>
      <c r="M297" s="169"/>
      <c r="N297" s="169"/>
      <c r="O297" s="169"/>
      <c r="P297" s="176"/>
      <c r="Q297" s="176"/>
      <c r="X297" s="169">
        <v>-1</v>
      </c>
      <c r="Y297" s="169">
        <v>-2</v>
      </c>
      <c r="Z297" s="169">
        <v>-1.5</v>
      </c>
      <c r="AA297" s="169">
        <v>-1.5</v>
      </c>
      <c r="AB297" s="169"/>
    </row>
    <row r="298" spans="2:33" x14ac:dyDescent="0.2">
      <c r="B298" s="159" t="s">
        <v>149</v>
      </c>
      <c r="C298" s="176">
        <f t="shared" ref="C298:N298" si="889">SUM(C277,C289,C295)</f>
        <v>-371</v>
      </c>
      <c r="D298" s="176">
        <f t="shared" si="889"/>
        <v>-524</v>
      </c>
      <c r="E298" s="176">
        <f t="shared" si="889"/>
        <v>11</v>
      </c>
      <c r="F298" s="176">
        <f t="shared" si="889"/>
        <v>-4</v>
      </c>
      <c r="G298" s="176">
        <f t="shared" si="889"/>
        <v>-200</v>
      </c>
      <c r="H298" s="176">
        <f t="shared" si="889"/>
        <v>17</v>
      </c>
      <c r="I298" s="176">
        <f t="shared" si="889"/>
        <v>-82</v>
      </c>
      <c r="J298" s="176">
        <f t="shared" si="889"/>
        <v>337</v>
      </c>
      <c r="K298" s="176">
        <f t="shared" si="889"/>
        <v>-255</v>
      </c>
      <c r="L298" s="176">
        <f t="shared" si="889"/>
        <v>-1</v>
      </c>
      <c r="M298" s="176">
        <f t="shared" si="889"/>
        <v>-110</v>
      </c>
      <c r="N298" s="176">
        <f t="shared" si="889"/>
        <v>184</v>
      </c>
      <c r="O298" s="176">
        <f>SUM(O277,O289,O295)</f>
        <v>-76</v>
      </c>
      <c r="P298" s="176">
        <f>SUM(P277,P289,P295)</f>
        <v>220</v>
      </c>
      <c r="Q298" s="176">
        <f>SUM(Q277,Q289,Q295)</f>
        <v>-277</v>
      </c>
      <c r="R298" s="176">
        <f t="shared" ref="R298:V298" si="890">SUM(R277,R289,R295)</f>
        <v>98.912686575570618</v>
      </c>
      <c r="S298" s="176">
        <f t="shared" si="890"/>
        <v>118.5711578938546</v>
      </c>
      <c r="T298" s="176">
        <f t="shared" si="890"/>
        <v>135.57379820094673</v>
      </c>
      <c r="U298" s="176">
        <f t="shared" si="890"/>
        <v>200.83945791458669</v>
      </c>
      <c r="V298" s="176">
        <f t="shared" si="890"/>
        <v>172.64915222067887</v>
      </c>
      <c r="X298" s="176">
        <f t="shared" ref="X298:AG298" si="891">SUM(X277,X289,X295)</f>
        <v>-888</v>
      </c>
      <c r="Y298" s="176">
        <f t="shared" si="891"/>
        <v>72</v>
      </c>
      <c r="Z298" s="176">
        <f t="shared" si="891"/>
        <v>-182</v>
      </c>
      <c r="AA298" s="176">
        <f t="shared" si="891"/>
        <v>-34.087313424429396</v>
      </c>
      <c r="AB298" s="176">
        <f t="shared" si="891"/>
        <v>627.63356623006689</v>
      </c>
      <c r="AC298" s="176">
        <f t="shared" si="891"/>
        <v>885.0579513451778</v>
      </c>
      <c r="AD298" s="176">
        <f t="shared" si="891"/>
        <v>1333.3638018880283</v>
      </c>
      <c r="AE298" s="176">
        <f t="shared" si="891"/>
        <v>2056.3056700766247</v>
      </c>
      <c r="AF298" s="176">
        <f t="shared" si="891"/>
        <v>2687.6782371209988</v>
      </c>
      <c r="AG298" s="176">
        <f t="shared" si="891"/>
        <v>3327.0088273547312</v>
      </c>
    </row>
    <row r="299" spans="2:33" x14ac:dyDescent="0.2">
      <c r="B299" s="159" t="s">
        <v>150</v>
      </c>
      <c r="C299" s="176">
        <v>1611</v>
      </c>
      <c r="D299" s="176">
        <f>C300</f>
        <v>1239</v>
      </c>
      <c r="E299" s="176">
        <f t="shared" ref="E299:N299" si="892">D300</f>
        <v>715</v>
      </c>
      <c r="F299" s="176">
        <f t="shared" si="892"/>
        <v>726</v>
      </c>
      <c r="G299" s="176">
        <f t="shared" si="892"/>
        <v>722</v>
      </c>
      <c r="H299" s="176">
        <f t="shared" si="892"/>
        <v>522</v>
      </c>
      <c r="I299" s="176">
        <f t="shared" si="892"/>
        <v>539</v>
      </c>
      <c r="J299" s="176">
        <f t="shared" si="892"/>
        <v>457</v>
      </c>
      <c r="K299" s="176">
        <f t="shared" si="892"/>
        <v>794</v>
      </c>
      <c r="L299" s="176">
        <f t="shared" si="892"/>
        <v>539</v>
      </c>
      <c r="M299" s="176">
        <f t="shared" si="892"/>
        <v>538</v>
      </c>
      <c r="N299" s="176">
        <f t="shared" si="892"/>
        <v>428</v>
      </c>
      <c r="O299" s="169">
        <v>610</v>
      </c>
      <c r="P299" s="169">
        <f>O300</f>
        <v>534</v>
      </c>
      <c r="Q299" s="176">
        <v>751</v>
      </c>
      <c r="R299" s="169">
        <f>Q300</f>
        <v>474</v>
      </c>
      <c r="S299" s="169">
        <f t="shared" ref="S299:V299" si="893">R300</f>
        <v>572.91268657557066</v>
      </c>
      <c r="T299" s="169">
        <f t="shared" si="893"/>
        <v>691.48384446942532</v>
      </c>
      <c r="U299" s="169">
        <f t="shared" si="893"/>
        <v>827.05764267037205</v>
      </c>
      <c r="V299" s="169">
        <f t="shared" si="893"/>
        <v>1027.8971005849587</v>
      </c>
      <c r="X299" s="176">
        <v>1611</v>
      </c>
      <c r="Y299" s="176">
        <f t="shared" ref="Y299" si="894">X300</f>
        <v>722</v>
      </c>
      <c r="Z299" s="176">
        <f t="shared" ref="Z299" si="895">Y300</f>
        <v>792</v>
      </c>
      <c r="AA299" s="176">
        <f t="shared" ref="AA299" si="896">Z300</f>
        <v>608.5</v>
      </c>
      <c r="AB299" s="176">
        <f t="shared" ref="AB299:AG299" si="897">AA300</f>
        <v>572.91268657557066</v>
      </c>
      <c r="AC299" s="169">
        <f t="shared" si="897"/>
        <v>1200.5462528056376</v>
      </c>
      <c r="AD299" s="169">
        <f t="shared" si="897"/>
        <v>2085.6042041508153</v>
      </c>
      <c r="AE299" s="169">
        <f t="shared" si="897"/>
        <v>3418.9680060388437</v>
      </c>
      <c r="AF299" s="169">
        <f t="shared" si="897"/>
        <v>5475.2736761154683</v>
      </c>
      <c r="AG299" s="169">
        <f t="shared" si="897"/>
        <v>8162.9519132364676</v>
      </c>
    </row>
    <row r="300" spans="2:33" ht="15" x14ac:dyDescent="0.25">
      <c r="B300" s="160" t="s">
        <v>151</v>
      </c>
      <c r="C300" s="178">
        <v>1239</v>
      </c>
      <c r="D300" s="178">
        <f t="shared" ref="D300:N300" si="898">SUM(D298:D299)</f>
        <v>715</v>
      </c>
      <c r="E300" s="178">
        <f t="shared" si="898"/>
        <v>726</v>
      </c>
      <c r="F300" s="178">
        <f t="shared" si="898"/>
        <v>722</v>
      </c>
      <c r="G300" s="178">
        <f t="shared" si="898"/>
        <v>522</v>
      </c>
      <c r="H300" s="178">
        <f t="shared" si="898"/>
        <v>539</v>
      </c>
      <c r="I300" s="178">
        <f t="shared" si="898"/>
        <v>457</v>
      </c>
      <c r="J300" s="178">
        <f t="shared" si="898"/>
        <v>794</v>
      </c>
      <c r="K300" s="178">
        <f t="shared" si="898"/>
        <v>539</v>
      </c>
      <c r="L300" s="178">
        <f t="shared" si="898"/>
        <v>538</v>
      </c>
      <c r="M300" s="178">
        <f t="shared" si="898"/>
        <v>428</v>
      </c>
      <c r="N300" s="178">
        <f t="shared" si="898"/>
        <v>612</v>
      </c>
      <c r="O300" s="178">
        <f>SUM(O298:O299)</f>
        <v>534</v>
      </c>
      <c r="P300" s="178">
        <v>751</v>
      </c>
      <c r="Q300" s="178">
        <f>SUM(Q298:Q299)</f>
        <v>474</v>
      </c>
      <c r="R300" s="178">
        <f t="shared" ref="R300:V300" si="899">SUM(R298:R299)</f>
        <v>572.91268657557066</v>
      </c>
      <c r="S300" s="178">
        <f t="shared" si="899"/>
        <v>691.48384446942532</v>
      </c>
      <c r="T300" s="178">
        <f t="shared" si="899"/>
        <v>827.05764267037205</v>
      </c>
      <c r="U300" s="178">
        <f t="shared" si="899"/>
        <v>1027.8971005849587</v>
      </c>
      <c r="V300" s="178">
        <f t="shared" si="899"/>
        <v>1200.5462528056376</v>
      </c>
      <c r="X300" s="178">
        <f>SUM(X297:X299)</f>
        <v>722</v>
      </c>
      <c r="Y300" s="178">
        <f t="shared" ref="Y300:AB300" si="900">SUM(Y297:Y299)</f>
        <v>792</v>
      </c>
      <c r="Z300" s="178">
        <f t="shared" si="900"/>
        <v>608.5</v>
      </c>
      <c r="AA300" s="178">
        <f t="shared" si="900"/>
        <v>572.91268657557066</v>
      </c>
      <c r="AB300" s="178">
        <f t="shared" si="900"/>
        <v>1200.5462528056376</v>
      </c>
      <c r="AC300" s="178">
        <f t="shared" ref="AC300:AG300" si="901">SUM(AC298:AC299)</f>
        <v>2085.6042041508153</v>
      </c>
      <c r="AD300" s="178">
        <f t="shared" si="901"/>
        <v>3418.9680060388437</v>
      </c>
      <c r="AE300" s="178">
        <f t="shared" si="901"/>
        <v>5475.2736761154683</v>
      </c>
      <c r="AF300" s="178">
        <f t="shared" si="901"/>
        <v>8162.9519132364676</v>
      </c>
      <c r="AG300" s="178">
        <f t="shared" si="901"/>
        <v>11489.960740591199</v>
      </c>
    </row>
    <row r="303" spans="2:33" ht="15" x14ac:dyDescent="0.25">
      <c r="B303" s="208" t="s">
        <v>263</v>
      </c>
      <c r="C303" s="207"/>
      <c r="D303" s="207"/>
      <c r="E303" s="207"/>
      <c r="F303" s="207"/>
      <c r="G303" s="207"/>
      <c r="H303" s="207"/>
      <c r="I303" s="207"/>
      <c r="J303" s="207"/>
      <c r="K303" s="207"/>
      <c r="L303" s="207"/>
      <c r="M303" s="207"/>
      <c r="N303" s="207"/>
      <c r="O303" s="207"/>
      <c r="P303" s="207"/>
      <c r="Q303" s="207"/>
      <c r="R303" s="207"/>
      <c r="S303" s="207"/>
      <c r="T303" s="207"/>
      <c r="U303" s="207"/>
      <c r="V303" s="207"/>
      <c r="X303" s="207"/>
      <c r="Y303" s="207"/>
      <c r="Z303" s="207"/>
      <c r="AA303" s="207"/>
      <c r="AB303" s="207"/>
      <c r="AC303" s="207"/>
      <c r="AD303" s="207"/>
      <c r="AE303" s="207"/>
      <c r="AF303" s="207"/>
      <c r="AG303" s="207"/>
    </row>
    <row r="305" spans="2:37" ht="15" x14ac:dyDescent="0.25">
      <c r="B305" s="188" t="s">
        <v>204</v>
      </c>
      <c r="C305" s="188"/>
      <c r="D305" s="188"/>
      <c r="E305" s="188"/>
      <c r="F305" s="188"/>
      <c r="G305" s="188"/>
      <c r="H305" s="188"/>
      <c r="I305" s="188"/>
      <c r="J305" s="188"/>
      <c r="K305" s="188"/>
      <c r="L305" s="188"/>
      <c r="M305" s="188"/>
      <c r="N305" s="188"/>
      <c r="O305" s="188"/>
      <c r="P305" s="188"/>
      <c r="Q305" s="188"/>
      <c r="R305" s="188"/>
      <c r="S305" s="188"/>
      <c r="T305" s="188"/>
      <c r="U305" s="188"/>
      <c r="V305" s="188"/>
    </row>
    <row r="306" spans="2:37" x14ac:dyDescent="0.2">
      <c r="B306" s="156" t="s">
        <v>201</v>
      </c>
      <c r="C306" s="348">
        <f t="shared" ref="C306:Q306" si="902">C212/C122*90</f>
        <v>25.235732009925556</v>
      </c>
      <c r="D306" s="348">
        <f t="shared" si="902"/>
        <v>23.799163179916317</v>
      </c>
      <c r="E306" s="348">
        <f t="shared" si="902"/>
        <v>28.62042088854248</v>
      </c>
      <c r="F306" s="348">
        <f t="shared" si="902"/>
        <v>25.704280155642021</v>
      </c>
      <c r="G306" s="348">
        <f t="shared" si="902"/>
        <v>32.560422960725077</v>
      </c>
      <c r="H306" s="348">
        <f t="shared" si="902"/>
        <v>32.368987796123477</v>
      </c>
      <c r="I306" s="348">
        <f t="shared" si="902"/>
        <v>34.542916957431963</v>
      </c>
      <c r="J306" s="348">
        <f t="shared" si="902"/>
        <v>30.099140779907469</v>
      </c>
      <c r="K306" s="348">
        <f t="shared" si="902"/>
        <v>36.774797255146602</v>
      </c>
      <c r="L306" s="348">
        <f t="shared" si="902"/>
        <v>35.879854368932044</v>
      </c>
      <c r="M306" s="348">
        <f t="shared" si="902"/>
        <v>38.757539203860077</v>
      </c>
      <c r="N306" s="348">
        <f t="shared" si="902"/>
        <v>35.095320623916813</v>
      </c>
      <c r="O306" s="348">
        <f t="shared" si="902"/>
        <v>38.733552631578952</v>
      </c>
      <c r="P306" s="348">
        <f t="shared" si="902"/>
        <v>35.856382978723403</v>
      </c>
      <c r="Q306" s="348">
        <f t="shared" si="902"/>
        <v>37.128065395095369</v>
      </c>
      <c r="R306" s="345">
        <f>Q306</f>
        <v>37.128065395095369</v>
      </c>
      <c r="S306" s="345">
        <f t="shared" ref="S306:V308" si="903">R306</f>
        <v>37.128065395095369</v>
      </c>
      <c r="T306" s="345">
        <f t="shared" si="903"/>
        <v>37.128065395095369</v>
      </c>
      <c r="U306" s="345">
        <f t="shared" si="903"/>
        <v>37.128065395095369</v>
      </c>
      <c r="V306" s="183">
        <f t="shared" si="903"/>
        <v>37.128065395095369</v>
      </c>
      <c r="X306" s="347">
        <f>X212/X122*365</f>
        <v>26.941874497184234</v>
      </c>
      <c r="Y306" s="347">
        <f t="shared" ref="Y306:Z306" si="904">Y212/Y122*365</f>
        <v>32.613455765495317</v>
      </c>
      <c r="Z306" s="347">
        <f t="shared" si="904"/>
        <v>37.104668674698793</v>
      </c>
      <c r="AA306" s="347">
        <f t="shared" ref="AA306:AB306" si="905">AA212/AA122*365</f>
        <v>38.491972287097795</v>
      </c>
      <c r="AB306" s="347">
        <f t="shared" si="905"/>
        <v>39.859092095173949</v>
      </c>
      <c r="AC306" s="344">
        <f>AB306-$AK$306</f>
        <v>38.859092095173949</v>
      </c>
      <c r="AD306" s="344">
        <f t="shared" ref="AD306:AG306" si="906">AC306-$AK$306</f>
        <v>37.859092095173949</v>
      </c>
      <c r="AE306" s="344">
        <f t="shared" si="906"/>
        <v>36.859092095173949</v>
      </c>
      <c r="AF306" s="344">
        <f t="shared" si="906"/>
        <v>35.859092095173949</v>
      </c>
      <c r="AG306" s="344">
        <f t="shared" si="906"/>
        <v>34.859092095173949</v>
      </c>
      <c r="AI306" s="156" t="s">
        <v>448</v>
      </c>
      <c r="AK306" s="187">
        <v>1</v>
      </c>
    </row>
    <row r="307" spans="2:37" x14ac:dyDescent="0.2">
      <c r="B307" s="156" t="s">
        <v>202</v>
      </c>
      <c r="C307" s="348">
        <f t="shared" ref="C307:Q307" si="907">C214/C174*90</f>
        <v>149.79381443298971</v>
      </c>
      <c r="D307" s="348">
        <f t="shared" si="907"/>
        <v>152.90548424737457</v>
      </c>
      <c r="E307" s="348">
        <f t="shared" si="907"/>
        <v>137.7155172413793</v>
      </c>
      <c r="F307" s="348">
        <f t="shared" si="907"/>
        <v>134.52025586353946</v>
      </c>
      <c r="G307" s="348">
        <f t="shared" si="907"/>
        <v>140.49473684210528</v>
      </c>
      <c r="H307" s="348">
        <f t="shared" si="907"/>
        <v>142.52279635258358</v>
      </c>
      <c r="I307" s="348">
        <f t="shared" si="907"/>
        <v>137.38636363636365</v>
      </c>
      <c r="J307" s="348">
        <f t="shared" si="907"/>
        <v>130.45945945945945</v>
      </c>
      <c r="K307" s="348">
        <f t="shared" si="907"/>
        <v>128.50515463917526</v>
      </c>
      <c r="L307" s="348">
        <f t="shared" si="907"/>
        <v>129.05518394648831</v>
      </c>
      <c r="M307" s="348">
        <f t="shared" si="907"/>
        <v>132.98393913778528</v>
      </c>
      <c r="N307" s="348">
        <f t="shared" si="907"/>
        <v>129.14634146341464</v>
      </c>
      <c r="O307" s="348">
        <f t="shared" si="907"/>
        <v>124.39534883720931</v>
      </c>
      <c r="P307" s="348">
        <f t="shared" si="907"/>
        <v>129.23076923076923</v>
      </c>
      <c r="Q307" s="348">
        <f t="shared" si="907"/>
        <v>136.61612130885874</v>
      </c>
      <c r="R307" s="345">
        <f>Q307</f>
        <v>136.61612130885874</v>
      </c>
      <c r="S307" s="345">
        <f t="shared" si="903"/>
        <v>136.61612130885874</v>
      </c>
      <c r="T307" s="345">
        <f t="shared" si="903"/>
        <v>136.61612130885874</v>
      </c>
      <c r="U307" s="345">
        <f t="shared" si="903"/>
        <v>136.61612130885874</v>
      </c>
      <c r="V307" s="183">
        <f t="shared" si="903"/>
        <v>136.61612130885874</v>
      </c>
      <c r="X307" s="348">
        <f>X214/X174*365</f>
        <v>142.30533926585093</v>
      </c>
      <c r="Y307" s="348">
        <f t="shared" ref="Y307:Z307" si="908">Y214/Y174*365</f>
        <v>143.13551060199853</v>
      </c>
      <c r="Z307" s="348">
        <f t="shared" si="908"/>
        <v>134.97276346113557</v>
      </c>
      <c r="AA307" s="348">
        <f t="shared" ref="AA307:AB307" si="909">AA214/AA174*365</f>
        <v>140.71121110816111</v>
      </c>
      <c r="AB307" s="348">
        <f t="shared" si="909"/>
        <v>142.75269931979355</v>
      </c>
      <c r="AC307" s="345">
        <f>AB307-$AK$307</f>
        <v>140.75269931979355</v>
      </c>
      <c r="AD307" s="345">
        <f t="shared" ref="AD307:AG307" si="910">AC307-$AK$307</f>
        <v>138.75269931979355</v>
      </c>
      <c r="AE307" s="345">
        <f t="shared" si="910"/>
        <v>136.75269931979355</v>
      </c>
      <c r="AF307" s="345">
        <f t="shared" si="910"/>
        <v>134.75269931979355</v>
      </c>
      <c r="AG307" s="345">
        <f t="shared" si="910"/>
        <v>132.75269931979355</v>
      </c>
      <c r="AI307" s="156" t="s">
        <v>449</v>
      </c>
      <c r="AK307" s="187">
        <v>2</v>
      </c>
    </row>
    <row r="308" spans="2:37" x14ac:dyDescent="0.2">
      <c r="B308" s="156" t="s">
        <v>203</v>
      </c>
      <c r="C308" s="248">
        <f t="shared" ref="C308:Q308" si="911">C215/C122</f>
        <v>0.16708023159636062</v>
      </c>
      <c r="D308" s="248">
        <f t="shared" si="911"/>
        <v>0.17740585774058579</v>
      </c>
      <c r="E308" s="248">
        <f t="shared" si="911"/>
        <v>0.16445830085736554</v>
      </c>
      <c r="F308" s="248">
        <f t="shared" si="911"/>
        <v>0.1517509727626459</v>
      </c>
      <c r="G308" s="248">
        <f t="shared" si="911"/>
        <v>0.18882175226586104</v>
      </c>
      <c r="H308" s="248">
        <f t="shared" si="911"/>
        <v>0.13424264178033021</v>
      </c>
      <c r="I308" s="248">
        <f t="shared" si="911"/>
        <v>0.12630844382414516</v>
      </c>
      <c r="J308" s="248">
        <f t="shared" si="911"/>
        <v>0.13615333773959021</v>
      </c>
      <c r="K308" s="248">
        <f t="shared" si="911"/>
        <v>0.11665626949469744</v>
      </c>
      <c r="L308" s="248">
        <f t="shared" si="911"/>
        <v>0.12560679611650485</v>
      </c>
      <c r="M308" s="248">
        <f t="shared" si="911"/>
        <v>0.1278648974668275</v>
      </c>
      <c r="N308" s="248">
        <f t="shared" si="911"/>
        <v>0.14384748700173311</v>
      </c>
      <c r="O308" s="248">
        <f t="shared" si="911"/>
        <v>0.12116228070175439</v>
      </c>
      <c r="P308" s="248">
        <f t="shared" si="911"/>
        <v>0.125</v>
      </c>
      <c r="Q308" s="248">
        <f t="shared" si="911"/>
        <v>0.13024523160762944</v>
      </c>
      <c r="R308" s="249">
        <f>Q308</f>
        <v>0.13024523160762944</v>
      </c>
      <c r="S308" s="249">
        <f t="shared" si="903"/>
        <v>0.13024523160762944</v>
      </c>
      <c r="T308" s="249">
        <f t="shared" si="903"/>
        <v>0.13024523160762944</v>
      </c>
      <c r="U308" s="249">
        <f t="shared" si="903"/>
        <v>0.13024523160762944</v>
      </c>
      <c r="V308" s="249">
        <f t="shared" si="903"/>
        <v>0.13024523160762944</v>
      </c>
      <c r="X308" s="248">
        <f>X215/X122</f>
        <v>3.9219629927594528E-2</v>
      </c>
      <c r="Y308" s="248">
        <f t="shared" ref="Y308:Z308" si="912">Y215/Y122</f>
        <v>3.6376478898110541E-2</v>
      </c>
      <c r="Z308" s="248">
        <f t="shared" si="912"/>
        <v>3.7499999999999999E-2</v>
      </c>
      <c r="AA308" s="248">
        <f t="shared" ref="AA308:AB308" si="913">AA215/AA122</f>
        <v>3.3295023168659177E-2</v>
      </c>
      <c r="AB308" s="248">
        <f t="shared" si="913"/>
        <v>3.447756287706185E-2</v>
      </c>
      <c r="AC308" s="249">
        <f>AB308-$AK$308</f>
        <v>3.1977562877061848E-2</v>
      </c>
      <c r="AD308" s="249">
        <f t="shared" ref="AD308:AG308" si="914">AC308-$AK$308</f>
        <v>2.9477562877061849E-2</v>
      </c>
      <c r="AE308" s="249">
        <f t="shared" si="914"/>
        <v>2.697756287706185E-2</v>
      </c>
      <c r="AF308" s="249">
        <f t="shared" si="914"/>
        <v>2.4477562877061852E-2</v>
      </c>
      <c r="AG308" s="249">
        <f t="shared" si="914"/>
        <v>2.1977562877061853E-2</v>
      </c>
      <c r="AI308" s="156" t="s">
        <v>450</v>
      </c>
      <c r="AK308" s="346">
        <v>2.5000000000000001E-3</v>
      </c>
    </row>
    <row r="310" spans="2:37" ht="15" x14ac:dyDescent="0.25">
      <c r="B310" s="188" t="s">
        <v>205</v>
      </c>
      <c r="C310" s="188"/>
      <c r="D310" s="188"/>
      <c r="E310" s="188"/>
      <c r="F310" s="188"/>
      <c r="G310" s="188"/>
      <c r="H310" s="188"/>
      <c r="I310" s="188"/>
      <c r="J310" s="188"/>
      <c r="K310" s="188"/>
      <c r="L310" s="188"/>
      <c r="M310" s="188"/>
      <c r="N310" s="188"/>
      <c r="O310" s="188"/>
      <c r="P310" s="188"/>
      <c r="Q310" s="188"/>
      <c r="R310" s="188"/>
      <c r="S310" s="188"/>
      <c r="T310" s="188"/>
      <c r="U310" s="188"/>
      <c r="V310" s="188"/>
    </row>
    <row r="311" spans="2:37" x14ac:dyDescent="0.2">
      <c r="B311" s="156" t="s">
        <v>206</v>
      </c>
      <c r="C311" s="348">
        <f t="shared" ref="C311:Q311" si="915">C227/C174*90</f>
        <v>61.443298969072167</v>
      </c>
      <c r="D311" s="348">
        <f t="shared" si="915"/>
        <v>66.371061843640604</v>
      </c>
      <c r="E311" s="348">
        <f t="shared" si="915"/>
        <v>62.650862068965516</v>
      </c>
      <c r="F311" s="348">
        <f t="shared" si="915"/>
        <v>70.234541577825155</v>
      </c>
      <c r="G311" s="348">
        <f t="shared" si="915"/>
        <v>73.610526315789471</v>
      </c>
      <c r="H311" s="348">
        <f t="shared" si="915"/>
        <v>74.224924012158056</v>
      </c>
      <c r="I311" s="348">
        <f t="shared" si="915"/>
        <v>69.204545454545453</v>
      </c>
      <c r="J311" s="348">
        <f t="shared" si="915"/>
        <v>78</v>
      </c>
      <c r="K311" s="348">
        <f t="shared" si="915"/>
        <v>67.809278350515456</v>
      </c>
      <c r="L311" s="348">
        <f t="shared" si="915"/>
        <v>66.295986622073585</v>
      </c>
      <c r="M311" s="348">
        <f t="shared" si="915"/>
        <v>68.013524936601854</v>
      </c>
      <c r="N311" s="348">
        <f t="shared" si="915"/>
        <v>71.853658536585357</v>
      </c>
      <c r="O311" s="348">
        <f t="shared" si="915"/>
        <v>67.255813953488371</v>
      </c>
      <c r="P311" s="348">
        <f t="shared" si="915"/>
        <v>67.902097902097907</v>
      </c>
      <c r="Q311" s="348">
        <f t="shared" si="915"/>
        <v>65.865921787709496</v>
      </c>
      <c r="R311" s="345">
        <f>Q311</f>
        <v>65.865921787709496</v>
      </c>
      <c r="S311" s="345">
        <f t="shared" ref="S311:V314" si="916">R311</f>
        <v>65.865921787709496</v>
      </c>
      <c r="T311" s="345">
        <f t="shared" si="916"/>
        <v>65.865921787709496</v>
      </c>
      <c r="U311" s="345">
        <f t="shared" si="916"/>
        <v>65.865921787709496</v>
      </c>
      <c r="V311" s="345">
        <f t="shared" si="916"/>
        <v>65.865921787709496</v>
      </c>
      <c r="X311" s="347">
        <f>X227/X174*365</f>
        <v>74.299221357063402</v>
      </c>
      <c r="Y311" s="347">
        <f t="shared" ref="Y311:AB311" si="917">Y227/Y174*365</f>
        <v>85.578844747745549</v>
      </c>
      <c r="Z311" s="347">
        <f t="shared" si="917"/>
        <v>75.095327886025558</v>
      </c>
      <c r="AA311" s="347">
        <f t="shared" si="917"/>
        <v>67.840263189371043</v>
      </c>
      <c r="AB311" s="347">
        <f t="shared" si="917"/>
        <v>68.824513815063455</v>
      </c>
      <c r="AC311" s="344">
        <f>AB311+$AK$311</f>
        <v>69.824513815063455</v>
      </c>
      <c r="AD311" s="344">
        <f t="shared" ref="AD311:AG311" si="918">AC311+$AK$311</f>
        <v>70.824513815063455</v>
      </c>
      <c r="AE311" s="344">
        <f t="shared" si="918"/>
        <v>71.824513815063455</v>
      </c>
      <c r="AF311" s="344">
        <f t="shared" si="918"/>
        <v>72.824513815063455</v>
      </c>
      <c r="AG311" s="344">
        <f t="shared" si="918"/>
        <v>73.824513815063455</v>
      </c>
      <c r="AI311" s="156" t="s">
        <v>451</v>
      </c>
      <c r="AK311" s="187">
        <v>1</v>
      </c>
    </row>
    <row r="312" spans="2:37" x14ac:dyDescent="0.2">
      <c r="B312" s="159" t="s">
        <v>168</v>
      </c>
      <c r="C312" s="248">
        <f>C228/C$122</f>
        <v>0.14143920595533499</v>
      </c>
      <c r="D312" s="248">
        <f t="shared" ref="D312:Q312" si="919">D228/D$122</f>
        <v>0.16317991631799164</v>
      </c>
      <c r="E312" s="248">
        <f t="shared" si="919"/>
        <v>0.15744349181605613</v>
      </c>
      <c r="F312" s="248">
        <f t="shared" si="919"/>
        <v>0.15408560311284047</v>
      </c>
      <c r="G312" s="248">
        <f t="shared" si="919"/>
        <v>0.12990936555891239</v>
      </c>
      <c r="H312" s="248">
        <f t="shared" si="919"/>
        <v>0.14213926776740848</v>
      </c>
      <c r="I312" s="248">
        <f t="shared" si="919"/>
        <v>0.14235868806699231</v>
      </c>
      <c r="J312" s="248">
        <f t="shared" si="919"/>
        <v>0.12888301387970919</v>
      </c>
      <c r="K312" s="248">
        <f t="shared" si="919"/>
        <v>0.12039925140361822</v>
      </c>
      <c r="L312" s="248">
        <f t="shared" si="919"/>
        <v>0.12682038834951456</v>
      </c>
      <c r="M312" s="248">
        <f t="shared" si="919"/>
        <v>0.14475271411338964</v>
      </c>
      <c r="N312" s="248">
        <f t="shared" si="919"/>
        <v>0.15193529751588677</v>
      </c>
      <c r="O312" s="248">
        <f t="shared" si="919"/>
        <v>0.11019736842105263</v>
      </c>
      <c r="P312" s="248">
        <f t="shared" si="919"/>
        <v>0.125</v>
      </c>
      <c r="Q312" s="248">
        <f t="shared" si="919"/>
        <v>0.1569482288828338</v>
      </c>
      <c r="R312" s="249">
        <f>Q312</f>
        <v>0.1569482288828338</v>
      </c>
      <c r="S312" s="249">
        <f t="shared" si="916"/>
        <v>0.1569482288828338</v>
      </c>
      <c r="T312" s="249">
        <f t="shared" si="916"/>
        <v>0.1569482288828338</v>
      </c>
      <c r="U312" s="249">
        <f t="shared" si="916"/>
        <v>0.1569482288828338</v>
      </c>
      <c r="V312" s="249">
        <f t="shared" si="916"/>
        <v>0.1569482288828338</v>
      </c>
      <c r="X312" s="248">
        <f t="shared" ref="X312:Z312" si="920">X228/X$122</f>
        <v>3.9823008849557522E-2</v>
      </c>
      <c r="Y312" s="248">
        <f t="shared" si="920"/>
        <v>3.4434045558891048E-2</v>
      </c>
      <c r="Z312" s="248">
        <f t="shared" si="920"/>
        <v>3.960843373493976E-2</v>
      </c>
      <c r="AA312" s="248">
        <f t="shared" ref="AA312:AB312" si="921">AA228/AA$122</f>
        <v>4.012119946683617E-2</v>
      </c>
      <c r="AB312" s="248">
        <f t="shared" si="921"/>
        <v>4.1546184554785835E-2</v>
      </c>
      <c r="AC312" s="249">
        <f>AB312</f>
        <v>4.1546184554785835E-2</v>
      </c>
      <c r="AD312" s="249">
        <f t="shared" ref="AD312:AD314" si="922">AC312</f>
        <v>4.1546184554785835E-2</v>
      </c>
      <c r="AE312" s="249">
        <f t="shared" ref="AE312:AE314" si="923">AD312</f>
        <v>4.1546184554785835E-2</v>
      </c>
      <c r="AF312" s="249">
        <f t="shared" ref="AF312:AF314" si="924">AE312</f>
        <v>4.1546184554785835E-2</v>
      </c>
      <c r="AG312" s="249">
        <f t="shared" ref="AG312:AG314" si="925">AF312</f>
        <v>4.1546184554785835E-2</v>
      </c>
      <c r="AK312" s="346"/>
    </row>
    <row r="313" spans="2:37" x14ac:dyDescent="0.2">
      <c r="B313" s="159" t="s">
        <v>169</v>
      </c>
      <c r="C313" s="248">
        <f>C229/C$122</f>
        <v>7.6923076923076927E-2</v>
      </c>
      <c r="D313" s="248">
        <f t="shared" ref="D313:Q313" si="926">D229/D$122</f>
        <v>6.6945606694560664E-2</v>
      </c>
      <c r="E313" s="248">
        <f t="shared" si="926"/>
        <v>6.0015588464536244E-2</v>
      </c>
      <c r="F313" s="248">
        <f t="shared" si="926"/>
        <v>4.7470817120622566E-2</v>
      </c>
      <c r="G313" s="248">
        <f t="shared" si="926"/>
        <v>4.7583081570996978E-2</v>
      </c>
      <c r="H313" s="248">
        <f t="shared" si="926"/>
        <v>4.1636755204594401E-2</v>
      </c>
      <c r="I313" s="248">
        <f t="shared" si="926"/>
        <v>3.9078855547801813E-2</v>
      </c>
      <c r="J313" s="248">
        <f t="shared" si="926"/>
        <v>3.1725049570389956E-2</v>
      </c>
      <c r="K313" s="248">
        <f t="shared" si="926"/>
        <v>3.9925140361821584E-2</v>
      </c>
      <c r="L313" s="248">
        <f t="shared" si="926"/>
        <v>4.7330097087378641E-2</v>
      </c>
      <c r="M313" s="248">
        <f t="shared" si="926"/>
        <v>4.402895054282268E-2</v>
      </c>
      <c r="N313" s="248">
        <f t="shared" si="926"/>
        <v>3.9283651068746386E-2</v>
      </c>
      <c r="O313" s="248">
        <f t="shared" si="926"/>
        <v>4.6052631578947366E-2</v>
      </c>
      <c r="P313" s="248">
        <f t="shared" si="926"/>
        <v>4.3085106382978723E-2</v>
      </c>
      <c r="Q313" s="248">
        <f t="shared" si="926"/>
        <v>3.2152588555858314E-2</v>
      </c>
      <c r="R313" s="249">
        <f>Q313</f>
        <v>3.2152588555858314E-2</v>
      </c>
      <c r="S313" s="249">
        <f t="shared" si="916"/>
        <v>3.2152588555858314E-2</v>
      </c>
      <c r="T313" s="249">
        <f t="shared" si="916"/>
        <v>3.2152588555858314E-2</v>
      </c>
      <c r="U313" s="249">
        <f t="shared" si="916"/>
        <v>3.2152588555858314E-2</v>
      </c>
      <c r="V313" s="249">
        <f t="shared" si="916"/>
        <v>3.2152588555858314E-2</v>
      </c>
      <c r="X313" s="248">
        <f t="shared" ref="X313:Z313" si="927">X229/X$122</f>
        <v>1.2268704746580853E-2</v>
      </c>
      <c r="Y313" s="248">
        <f t="shared" si="927"/>
        <v>8.4760727529577962E-3</v>
      </c>
      <c r="Z313" s="248">
        <f t="shared" si="927"/>
        <v>1.0240963855421687E-2</v>
      </c>
      <c r="AA313" s="248">
        <f t="shared" ref="AA313:AB313" si="928">AA229/AA$122</f>
        <v>8.2192735018865749E-3</v>
      </c>
      <c r="AB313" s="248">
        <f t="shared" si="928"/>
        <v>8.5111975303207091E-3</v>
      </c>
      <c r="AC313" s="249">
        <f>AB313</f>
        <v>8.5111975303207091E-3</v>
      </c>
      <c r="AD313" s="249">
        <f t="shared" si="922"/>
        <v>8.5111975303207091E-3</v>
      </c>
      <c r="AE313" s="249">
        <f t="shared" si="923"/>
        <v>8.5111975303207091E-3</v>
      </c>
      <c r="AF313" s="249">
        <f t="shared" si="924"/>
        <v>8.5111975303207091E-3</v>
      </c>
      <c r="AG313" s="249">
        <f t="shared" si="925"/>
        <v>8.5111975303207091E-3</v>
      </c>
      <c r="AK313" s="346"/>
    </row>
    <row r="314" spans="2:37" x14ac:dyDescent="0.2">
      <c r="B314" s="159" t="s">
        <v>321</v>
      </c>
      <c r="C314" s="248">
        <f>C231/C$122</f>
        <v>0.20099255583126552</v>
      </c>
      <c r="D314" s="248">
        <f t="shared" ref="D314:Q314" si="929">D231/D$122</f>
        <v>0.19414225941422594</v>
      </c>
      <c r="E314" s="248">
        <f t="shared" si="929"/>
        <v>0.15666406858924395</v>
      </c>
      <c r="F314" s="248">
        <f t="shared" si="929"/>
        <v>0.1424124513618677</v>
      </c>
      <c r="G314" s="248">
        <f t="shared" si="929"/>
        <v>0.12915407854984895</v>
      </c>
      <c r="H314" s="248">
        <f t="shared" si="929"/>
        <v>0.12634601579325197</v>
      </c>
      <c r="I314" s="248">
        <f t="shared" si="929"/>
        <v>0.1674808094905792</v>
      </c>
      <c r="J314" s="248">
        <f t="shared" si="929"/>
        <v>0.13350958360872439</v>
      </c>
      <c r="K314" s="248">
        <f t="shared" si="929"/>
        <v>0.12850904553961323</v>
      </c>
      <c r="L314" s="248">
        <f t="shared" si="929"/>
        <v>0.10254854368932038</v>
      </c>
      <c r="M314" s="248">
        <f t="shared" si="929"/>
        <v>0.11399276236429433</v>
      </c>
      <c r="N314" s="248">
        <f t="shared" si="929"/>
        <v>0.11554015020219527</v>
      </c>
      <c r="O314" s="248">
        <f t="shared" si="929"/>
        <v>0.10855263157894737</v>
      </c>
      <c r="P314" s="248">
        <f t="shared" si="929"/>
        <v>0.11968085106382979</v>
      </c>
      <c r="Q314" s="248">
        <f t="shared" si="929"/>
        <v>0.12370572207084468</v>
      </c>
      <c r="R314" s="249">
        <f>Q314</f>
        <v>0.12370572207084468</v>
      </c>
      <c r="S314" s="249">
        <f t="shared" si="916"/>
        <v>0.12370572207084468</v>
      </c>
      <c r="T314" s="249">
        <f t="shared" si="916"/>
        <v>0.12370572207084468</v>
      </c>
      <c r="U314" s="249">
        <f t="shared" si="916"/>
        <v>0.12370572207084468</v>
      </c>
      <c r="V314" s="249">
        <f t="shared" si="916"/>
        <v>0.12370572207084468</v>
      </c>
      <c r="X314" s="248">
        <f t="shared" ref="X314:Z314" si="930">X231/X$122</f>
        <v>3.680611423974256E-2</v>
      </c>
      <c r="Y314" s="248">
        <f t="shared" si="930"/>
        <v>3.5670139502030726E-2</v>
      </c>
      <c r="Z314" s="248">
        <f t="shared" si="930"/>
        <v>3.0120481927710843E-2</v>
      </c>
      <c r="AA314" s="248">
        <f t="shared" ref="AA314:AB314" si="931">AA231/AA$122</f>
        <v>3.1623306524207667E-2</v>
      </c>
      <c r="AB314" s="248">
        <f t="shared" si="931"/>
        <v>3.2746471853945774E-2</v>
      </c>
      <c r="AC314" s="249">
        <f>AVERAGE(Z314:AB314)</f>
        <v>3.1496753435288093E-2</v>
      </c>
      <c r="AD314" s="249">
        <f t="shared" si="922"/>
        <v>3.1496753435288093E-2</v>
      </c>
      <c r="AE314" s="249">
        <f t="shared" si="923"/>
        <v>3.1496753435288093E-2</v>
      </c>
      <c r="AF314" s="249">
        <f t="shared" si="924"/>
        <v>3.1496753435288093E-2</v>
      </c>
      <c r="AG314" s="249">
        <f t="shared" si="925"/>
        <v>3.1496753435288093E-2</v>
      </c>
    </row>
    <row r="316" spans="2:37" x14ac:dyDescent="0.2">
      <c r="B316" s="156" t="s">
        <v>208</v>
      </c>
      <c r="C316" s="169">
        <f t="shared" ref="C316:V316" si="932">SUM(C212:C215)-SUM(C227:C231)</f>
        <v>899</v>
      </c>
      <c r="D316" s="169">
        <f t="shared" si="932"/>
        <v>870</v>
      </c>
      <c r="E316" s="169">
        <f t="shared" si="932"/>
        <v>902</v>
      </c>
      <c r="F316" s="169">
        <f t="shared" si="932"/>
        <v>769</v>
      </c>
      <c r="G316" s="169">
        <f t="shared" si="932"/>
        <v>1010</v>
      </c>
      <c r="H316" s="169">
        <f t="shared" si="932"/>
        <v>979</v>
      </c>
      <c r="I316" s="169">
        <f t="shared" si="932"/>
        <v>1013</v>
      </c>
      <c r="J316" s="169">
        <f t="shared" si="932"/>
        <v>870</v>
      </c>
      <c r="K316" s="169">
        <f t="shared" si="932"/>
        <v>1117</v>
      </c>
      <c r="L316" s="169">
        <f t="shared" si="932"/>
        <v>1183</v>
      </c>
      <c r="M316" s="169">
        <f t="shared" si="932"/>
        <v>1233</v>
      </c>
      <c r="N316" s="169">
        <f t="shared" si="932"/>
        <v>1128</v>
      </c>
      <c r="O316" s="169">
        <f t="shared" si="932"/>
        <v>1315</v>
      </c>
      <c r="P316" s="169">
        <f t="shared" si="932"/>
        <v>1275</v>
      </c>
      <c r="Q316" s="169">
        <f t="shared" si="932"/>
        <v>1400</v>
      </c>
      <c r="R316" s="169">
        <f t="shared" si="932"/>
        <v>1455.408334946454</v>
      </c>
      <c r="S316" s="169">
        <f t="shared" si="932"/>
        <v>1485.3932789862727</v>
      </c>
      <c r="T316" s="169">
        <f t="shared" si="932"/>
        <v>1521.4403785115894</v>
      </c>
      <c r="U316" s="169">
        <f t="shared" si="932"/>
        <v>1514.7571700745966</v>
      </c>
      <c r="V316" s="169">
        <f t="shared" si="932"/>
        <v>1587.2422906073161</v>
      </c>
      <c r="X316" s="169">
        <f t="shared" ref="X316:AG316" si="933">SUM(X212:X215)-SUM(X227:X231)</f>
        <v>769</v>
      </c>
      <c r="Y316" s="169">
        <f t="shared" si="933"/>
        <v>870</v>
      </c>
      <c r="Z316" s="169">
        <f t="shared" si="933"/>
        <v>1128</v>
      </c>
      <c r="AA316" s="169">
        <f t="shared" si="933"/>
        <v>1455.408334946454</v>
      </c>
      <c r="AB316" s="169">
        <f t="shared" si="933"/>
        <v>1587.2422906073161</v>
      </c>
      <c r="AC316" s="169">
        <f t="shared" si="933"/>
        <v>1738.230063749565</v>
      </c>
      <c r="AD316" s="169">
        <f t="shared" si="933"/>
        <v>1793.2466628449993</v>
      </c>
      <c r="AE316" s="169">
        <f t="shared" si="933"/>
        <v>1900.1802232391105</v>
      </c>
      <c r="AF316" s="169">
        <f t="shared" si="933"/>
        <v>1906.7157706562325</v>
      </c>
      <c r="AG316" s="169">
        <f t="shared" si="933"/>
        <v>1910.0528832447717</v>
      </c>
    </row>
    <row r="317" spans="2:37" x14ac:dyDescent="0.2">
      <c r="B317" s="156" t="s">
        <v>209</v>
      </c>
      <c r="C317" s="169"/>
      <c r="D317" s="169">
        <f t="shared" ref="D317:S317" si="934">C316-D316</f>
        <v>29</v>
      </c>
      <c r="E317" s="169">
        <f t="shared" si="934"/>
        <v>-32</v>
      </c>
      <c r="F317" s="169">
        <f t="shared" si="934"/>
        <v>133</v>
      </c>
      <c r="G317" s="169">
        <f t="shared" si="934"/>
        <v>-241</v>
      </c>
      <c r="H317" s="169">
        <f t="shared" si="934"/>
        <v>31</v>
      </c>
      <c r="I317" s="169">
        <f t="shared" si="934"/>
        <v>-34</v>
      </c>
      <c r="J317" s="169">
        <f t="shared" si="934"/>
        <v>143</v>
      </c>
      <c r="K317" s="169">
        <f t="shared" si="934"/>
        <v>-247</v>
      </c>
      <c r="L317" s="169">
        <f t="shared" si="934"/>
        <v>-66</v>
      </c>
      <c r="M317" s="169">
        <f t="shared" si="934"/>
        <v>-50</v>
      </c>
      <c r="N317" s="169">
        <f t="shared" si="934"/>
        <v>105</v>
      </c>
      <c r="O317" s="169">
        <f t="shared" si="934"/>
        <v>-187</v>
      </c>
      <c r="P317" s="169">
        <f t="shared" si="934"/>
        <v>40</v>
      </c>
      <c r="Q317" s="169">
        <f t="shared" si="934"/>
        <v>-125</v>
      </c>
      <c r="R317" s="169">
        <f t="shared" si="934"/>
        <v>-55.408334946454033</v>
      </c>
      <c r="S317" s="169">
        <f t="shared" si="934"/>
        <v>-29.984944039818629</v>
      </c>
      <c r="T317" s="169">
        <f t="shared" ref="T317:V317" si="935">S316-T316</f>
        <v>-36.047099525316753</v>
      </c>
      <c r="U317" s="169">
        <f t="shared" si="935"/>
        <v>6.6832084369927998</v>
      </c>
      <c r="V317" s="169">
        <f t="shared" si="935"/>
        <v>-72.48512053271952</v>
      </c>
      <c r="X317" s="169">
        <f t="shared" ref="X317" si="936">W316-X316</f>
        <v>-769</v>
      </c>
      <c r="Y317" s="169">
        <f t="shared" ref="Y317" si="937">X316-Y316</f>
        <v>-101</v>
      </c>
      <c r="Z317" s="169">
        <f t="shared" ref="Z317" si="938">Y316-Z316</f>
        <v>-258</v>
      </c>
      <c r="AA317" s="169">
        <f t="shared" ref="AA317" si="939">Z316-AA316</f>
        <v>-327.40833494645403</v>
      </c>
      <c r="AB317" s="169">
        <f t="shared" ref="AB317" si="940">AA316-AB316</f>
        <v>-131.8339556608621</v>
      </c>
      <c r="AC317" s="169">
        <f t="shared" ref="AC317" si="941">AB316-AC316</f>
        <v>-150.9877731422489</v>
      </c>
      <c r="AD317" s="169">
        <f t="shared" ref="AD317" si="942">AC316-AD316</f>
        <v>-55.016599095434231</v>
      </c>
      <c r="AE317" s="169">
        <f t="shared" ref="AE317" si="943">AD316-AE316</f>
        <v>-106.93356039411128</v>
      </c>
      <c r="AF317" s="169">
        <f t="shared" ref="AF317" si="944">AE316-AF316</f>
        <v>-6.5355474171219612</v>
      </c>
      <c r="AG317" s="169">
        <f t="shared" ref="AG317" si="945">AF316-AG316</f>
        <v>-3.3371125885391848</v>
      </c>
    </row>
    <row r="319" spans="2:37" ht="15" x14ac:dyDescent="0.25">
      <c r="B319" s="208" t="s">
        <v>322</v>
      </c>
      <c r="C319" s="207"/>
      <c r="D319" s="207"/>
      <c r="E319" s="207"/>
      <c r="F319" s="207"/>
      <c r="G319" s="207"/>
      <c r="H319" s="207"/>
      <c r="I319" s="207"/>
      <c r="J319" s="207"/>
      <c r="K319" s="207"/>
      <c r="L319" s="207"/>
      <c r="M319" s="207"/>
      <c r="N319" s="207"/>
      <c r="O319" s="207"/>
      <c r="P319" s="207"/>
      <c r="Q319" s="207"/>
      <c r="R319" s="207"/>
      <c r="S319" s="207"/>
      <c r="T319" s="207"/>
      <c r="U319" s="207"/>
      <c r="V319" s="207"/>
      <c r="X319" s="207"/>
      <c r="Y319" s="207"/>
      <c r="Z319" s="207"/>
      <c r="AA319" s="207"/>
      <c r="AB319" s="207"/>
      <c r="AC319" s="207"/>
      <c r="AD319" s="207"/>
      <c r="AE319" s="207"/>
      <c r="AF319" s="207"/>
      <c r="AG319" s="207"/>
    </row>
    <row r="321" spans="2:33" x14ac:dyDescent="0.2">
      <c r="B321" s="156" t="s">
        <v>323</v>
      </c>
      <c r="C321" s="158">
        <f>-C286/C203</f>
        <v>1.0416666666666666E-2</v>
      </c>
      <c r="D321" s="158">
        <f t="shared" ref="D321:Z321" si="946">-D286/D203</f>
        <v>0</v>
      </c>
      <c r="E321" s="158">
        <f t="shared" si="946"/>
        <v>8.3333333333333329E-2</v>
      </c>
      <c r="F321" s="158">
        <f t="shared" si="946"/>
        <v>6.1538461538461542E-2</v>
      </c>
      <c r="G321" s="158">
        <f t="shared" si="946"/>
        <v>6.8181818181818177E-2</v>
      </c>
      <c r="H321" s="158">
        <f t="shared" si="946"/>
        <v>6.0402684563758392E-2</v>
      </c>
      <c r="I321" s="158">
        <f t="shared" si="946"/>
        <v>5.921052631578947E-2</v>
      </c>
      <c r="J321" s="158">
        <f t="shared" si="946"/>
        <v>0.10625</v>
      </c>
      <c r="K321" s="158">
        <f t="shared" si="946"/>
        <v>9.7142857142857142E-2</v>
      </c>
      <c r="L321" s="158">
        <f t="shared" si="946"/>
        <v>9.9447513812154692E-2</v>
      </c>
      <c r="M321" s="158">
        <f t="shared" si="946"/>
        <v>8.8541666666666671E-2</v>
      </c>
      <c r="N321" s="158">
        <f t="shared" si="946"/>
        <v>9.6330275229357804E-2</v>
      </c>
      <c r="O321" s="158">
        <f t="shared" si="946"/>
        <v>8.8607594936708861E-2</v>
      </c>
      <c r="P321" s="158">
        <f t="shared" si="946"/>
        <v>7.6086956521739135E-2</v>
      </c>
      <c r="Q321" s="158">
        <f t="shared" si="946"/>
        <v>0.11683848797250859</v>
      </c>
      <c r="R321" s="158">
        <f t="shared" si="946"/>
        <v>0.10745053289594307</v>
      </c>
      <c r="S321" s="158">
        <f t="shared" si="946"/>
        <v>0.10912577814101881</v>
      </c>
      <c r="T321" s="158">
        <f t="shared" si="946"/>
        <v>0.10117056524617184</v>
      </c>
      <c r="U321" s="158">
        <f t="shared" si="946"/>
        <v>9.4523420234154901E-2</v>
      </c>
      <c r="V321" s="158">
        <f t="shared" si="946"/>
        <v>8.225725315091606E-2</v>
      </c>
      <c r="X321" s="158">
        <f t="shared" si="946"/>
        <v>3.512014787430684E-2</v>
      </c>
      <c r="Y321" s="158">
        <f t="shared" si="946"/>
        <v>6.616541353383458E-2</v>
      </c>
      <c r="Z321" s="158">
        <f t="shared" si="946"/>
        <v>8.8484848484848486E-2</v>
      </c>
      <c r="AA321" s="158">
        <f t="shared" ref="AA321:AG321" si="947">-AA286/AA203</f>
        <v>9.3468431587238138E-2</v>
      </c>
      <c r="AB321" s="158">
        <f t="shared" si="947"/>
        <v>9.5756308324200776E-2</v>
      </c>
      <c r="AC321" s="158">
        <f t="shared" si="947"/>
        <v>8.3535144055333937E-2</v>
      </c>
      <c r="AD321" s="158">
        <f t="shared" si="947"/>
        <v>9.915310658766327E-2</v>
      </c>
      <c r="AE321" s="158">
        <f t="shared" si="947"/>
        <v>0.10229277063447297</v>
      </c>
      <c r="AF321" s="158">
        <f t="shared" si="947"/>
        <v>8.626988769572605E-2</v>
      </c>
      <c r="AG321" s="158">
        <f t="shared" si="947"/>
        <v>7.2635073640008263E-2</v>
      </c>
    </row>
    <row r="322" spans="2:33" x14ac:dyDescent="0.2">
      <c r="B322" s="156" t="s">
        <v>324</v>
      </c>
      <c r="C322" s="186">
        <f t="shared" ref="C322:P322" si="948">-C286/C199</f>
        <v>2.2761536962130967E-3</v>
      </c>
      <c r="D322" s="186">
        <f t="shared" si="948"/>
        <v>0</v>
      </c>
      <c r="E322" s="186">
        <f t="shared" si="948"/>
        <v>2.3333159034635342E-2</v>
      </c>
      <c r="F322" s="186">
        <f t="shared" si="948"/>
        <v>1.8794314203109921E-2</v>
      </c>
      <c r="G322" s="186">
        <f t="shared" si="948"/>
        <v>2.1486268146320271E-2</v>
      </c>
      <c r="H322" s="186">
        <f t="shared" si="948"/>
        <v>2.1324299816556289E-2</v>
      </c>
      <c r="I322" s="186">
        <f t="shared" si="948"/>
        <v>2.1441393432895237E-2</v>
      </c>
      <c r="J322" s="186">
        <f t="shared" si="948"/>
        <v>4.0564842524954806E-2</v>
      </c>
      <c r="K322" s="186">
        <f t="shared" si="948"/>
        <v>4.0644530541195621E-2</v>
      </c>
      <c r="L322" s="186">
        <f t="shared" si="948"/>
        <v>4.3164896027443972E-2</v>
      </c>
      <c r="M322" s="186">
        <f t="shared" si="948"/>
        <v>4.1005864398218392E-2</v>
      </c>
      <c r="N322" s="186">
        <f t="shared" si="948"/>
        <v>5.0731824321983122E-2</v>
      </c>
      <c r="O322" s="186">
        <f t="shared" si="948"/>
        <v>5.0970873786407765E-2</v>
      </c>
      <c r="P322" s="186">
        <f t="shared" si="948"/>
        <v>5.1094890510948905E-2</v>
      </c>
      <c r="Q322" s="186">
        <f>-Q286/Q199</f>
        <v>8.2926829268292687E-2</v>
      </c>
      <c r="R322" s="247">
        <f>Q322</f>
        <v>8.2926829268292687E-2</v>
      </c>
      <c r="S322" s="247">
        <f t="shared" ref="S322:V322" si="949">R322</f>
        <v>8.2926829268292687E-2</v>
      </c>
      <c r="T322" s="247">
        <f t="shared" si="949"/>
        <v>8.2926829268292687E-2</v>
      </c>
      <c r="U322" s="247">
        <f t="shared" si="949"/>
        <v>8.2926829268292687E-2</v>
      </c>
      <c r="V322" s="247">
        <f t="shared" si="949"/>
        <v>8.2926829268292687E-2</v>
      </c>
      <c r="X322" s="186">
        <f t="shared" ref="X322:Z322" si="950">-X286/X199</f>
        <v>4.4053718106854295E-2</v>
      </c>
      <c r="Y322" s="186">
        <f t="shared" si="950"/>
        <v>0.10477706924692456</v>
      </c>
      <c r="Z322" s="186">
        <f t="shared" si="950"/>
        <v>0.17550374271287875</v>
      </c>
      <c r="AA322" s="186">
        <f t="shared" ref="AA322:AB322" si="951">-AA286/AA199</f>
        <v>0.26776452405111129</v>
      </c>
      <c r="AB322" s="186">
        <f t="shared" si="951"/>
        <v>0.32851848490192409</v>
      </c>
      <c r="AC322" s="186">
        <f>AB322*(1+AC323)</f>
        <v>0.36137033339211655</v>
      </c>
      <c r="AD322" s="186">
        <f t="shared" ref="AD322:AG322" si="952">AC322*(1+AD323)</f>
        <v>0.54205550008817482</v>
      </c>
      <c r="AE322" s="186">
        <f t="shared" si="952"/>
        <v>0.70467215011462725</v>
      </c>
      <c r="AF322" s="186">
        <f t="shared" si="952"/>
        <v>0.70467215011462725</v>
      </c>
      <c r="AG322" s="186">
        <f t="shared" si="952"/>
        <v>0.70467215011462725</v>
      </c>
    </row>
    <row r="323" spans="2:33" x14ac:dyDescent="0.2">
      <c r="B323" s="156" t="s">
        <v>292</v>
      </c>
      <c r="G323" s="158">
        <f>G322/C322-1</f>
        <v>8.4397264042703277</v>
      </c>
      <c r="H323" s="158" t="e">
        <f t="shared" ref="H323:V323" si="953">H322/D322-1</f>
        <v>#DIV/0!</v>
      </c>
      <c r="I323" s="158">
        <f t="shared" si="953"/>
        <v>-8.1076274281249305E-2</v>
      </c>
      <c r="J323" s="158">
        <f t="shared" si="953"/>
        <v>1.1583571545399876</v>
      </c>
      <c r="K323" s="158">
        <f t="shared" si="953"/>
        <v>0.89165146150130248</v>
      </c>
      <c r="L323" s="158">
        <f t="shared" si="953"/>
        <v>1.0242116458112513</v>
      </c>
      <c r="M323" s="158">
        <f t="shared" si="953"/>
        <v>0.91246266370484475</v>
      </c>
      <c r="N323" s="158">
        <f t="shared" si="953"/>
        <v>0.25063530792147803</v>
      </c>
      <c r="O323" s="158">
        <f t="shared" si="953"/>
        <v>0.25406476856082238</v>
      </c>
      <c r="P323" s="158">
        <f t="shared" si="953"/>
        <v>0.18371397161394976</v>
      </c>
      <c r="Q323" s="158">
        <f t="shared" si="953"/>
        <v>1.0223163317073172</v>
      </c>
      <c r="R323" s="158">
        <f t="shared" si="953"/>
        <v>0.63461161463414628</v>
      </c>
      <c r="S323" s="158">
        <f t="shared" si="953"/>
        <v>0.6269454123112661</v>
      </c>
      <c r="T323" s="158">
        <f t="shared" si="953"/>
        <v>0.62299651567944259</v>
      </c>
      <c r="U323" s="158">
        <f t="shared" si="953"/>
        <v>0</v>
      </c>
      <c r="V323" s="158">
        <f t="shared" si="953"/>
        <v>0</v>
      </c>
      <c r="Y323" s="158">
        <f>Y322/X322-1</f>
        <v>1.3783933286353496</v>
      </c>
      <c r="Z323" s="158">
        <f>Z322/Y322-1</f>
        <v>0.6750205362136541</v>
      </c>
      <c r="AA323" s="158">
        <f>AA322/Z322-1</f>
        <v>0.52569124687653912</v>
      </c>
      <c r="AB323" s="158">
        <f>AB322/AA322-1</f>
        <v>0.22689324161260438</v>
      </c>
      <c r="AC323" s="181">
        <v>0.1</v>
      </c>
      <c r="AD323" s="181">
        <v>0.5</v>
      </c>
      <c r="AE323" s="181">
        <v>0.3</v>
      </c>
      <c r="AF323" s="181">
        <v>0</v>
      </c>
      <c r="AG323" s="181">
        <v>0</v>
      </c>
    </row>
    <row r="325" spans="2:33" x14ac:dyDescent="0.2">
      <c r="B325" s="156" t="s">
        <v>325</v>
      </c>
      <c r="C325" s="248">
        <f>-C292/C122</f>
        <v>4.5492142266335814E-2</v>
      </c>
      <c r="D325" s="248">
        <f t="shared" ref="D325:Q325" si="954">-D292/D122</f>
        <v>4.6025104602510462E-2</v>
      </c>
      <c r="E325" s="248">
        <f t="shared" si="954"/>
        <v>3.6632891660171474E-2</v>
      </c>
      <c r="F325" s="248">
        <f t="shared" si="954"/>
        <v>4.7470817120622566E-2</v>
      </c>
      <c r="G325" s="248">
        <f t="shared" si="954"/>
        <v>4.6827794561933533E-2</v>
      </c>
      <c r="H325" s="248">
        <f t="shared" si="954"/>
        <v>3.1586503948312993E-2</v>
      </c>
      <c r="I325" s="248">
        <f t="shared" si="954"/>
        <v>2.930914166085136E-2</v>
      </c>
      <c r="J325" s="248">
        <f t="shared" si="954"/>
        <v>2.9742233972240583E-2</v>
      </c>
      <c r="K325" s="248">
        <f t="shared" si="954"/>
        <v>3.9925140361821584E-2</v>
      </c>
      <c r="L325" s="248">
        <f t="shared" si="954"/>
        <v>2.4878640776699028E-2</v>
      </c>
      <c r="M325" s="248">
        <f t="shared" si="954"/>
        <v>3.5585042219541618E-2</v>
      </c>
      <c r="N325" s="248">
        <f t="shared" si="954"/>
        <v>4.7371461582900058E-2</v>
      </c>
      <c r="O325" s="248">
        <f t="shared" si="954"/>
        <v>4.4956140350877194E-2</v>
      </c>
      <c r="P325" s="248">
        <f t="shared" si="954"/>
        <v>2.9255319148936171E-2</v>
      </c>
      <c r="Q325" s="248">
        <f t="shared" si="954"/>
        <v>4.4686648501362398E-2</v>
      </c>
      <c r="R325" s="249">
        <f>Q325</f>
        <v>4.4686648501362398E-2</v>
      </c>
      <c r="S325" s="249">
        <f t="shared" ref="S325:V326" si="955">R325</f>
        <v>4.4686648501362398E-2</v>
      </c>
      <c r="T325" s="249">
        <f t="shared" si="955"/>
        <v>4.4686648501362398E-2</v>
      </c>
      <c r="U325" s="249">
        <f t="shared" si="955"/>
        <v>4.4686648501362398E-2</v>
      </c>
      <c r="V325" s="249">
        <f t="shared" si="955"/>
        <v>4.4686648501362398E-2</v>
      </c>
      <c r="X325" s="248">
        <f t="shared" ref="X325:AB325" si="956">-X292/X122</f>
        <v>4.3845534995977473E-2</v>
      </c>
      <c r="Y325" s="248">
        <f t="shared" si="956"/>
        <v>3.4080875860851137E-2</v>
      </c>
      <c r="Z325" s="248">
        <f t="shared" si="956"/>
        <v>3.7048192771084336E-2</v>
      </c>
      <c r="AA325" s="248">
        <f t="shared" si="956"/>
        <v>4.0854034229314572E-2</v>
      </c>
      <c r="AB325" s="248">
        <f t="shared" si="956"/>
        <v>4.4686648501362398E-2</v>
      </c>
      <c r="AC325" s="250">
        <v>0.04</v>
      </c>
      <c r="AD325" s="250">
        <v>3.5000000000000003E-2</v>
      </c>
      <c r="AE325" s="250">
        <v>0.03</v>
      </c>
      <c r="AF325" s="250">
        <v>2.5000000000000001E-2</v>
      </c>
      <c r="AG325" s="250">
        <v>0.02</v>
      </c>
    </row>
    <row r="326" spans="2:33" x14ac:dyDescent="0.2">
      <c r="B326" s="156" t="s">
        <v>326</v>
      </c>
      <c r="C326" s="248">
        <f>C258/C122</f>
        <v>5.6244830438378829E-2</v>
      </c>
      <c r="D326" s="248">
        <f t="shared" ref="D326:Q326" si="957">D258/D122</f>
        <v>5.6066945606694563E-2</v>
      </c>
      <c r="E326" s="248">
        <f t="shared" si="957"/>
        <v>5.3000779423226813E-2</v>
      </c>
      <c r="F326" s="248">
        <f t="shared" si="957"/>
        <v>5.2140077821011675E-2</v>
      </c>
      <c r="G326" s="248">
        <f t="shared" si="957"/>
        <v>4.9848942598187312E-2</v>
      </c>
      <c r="H326" s="248">
        <f t="shared" si="957"/>
        <v>4.8097631012203879E-2</v>
      </c>
      <c r="I326" s="248">
        <f t="shared" si="957"/>
        <v>4.5359385903698535E-2</v>
      </c>
      <c r="J326" s="248">
        <f t="shared" si="957"/>
        <v>4.4282881692002646E-2</v>
      </c>
      <c r="K326" s="248">
        <f t="shared" si="957"/>
        <v>4.3044291952588895E-2</v>
      </c>
      <c r="L326" s="248">
        <f t="shared" si="957"/>
        <v>4.0655339805825245E-2</v>
      </c>
      <c r="M326" s="248">
        <f t="shared" si="957"/>
        <v>4.1013268998793727E-2</v>
      </c>
      <c r="N326" s="248">
        <f t="shared" si="957"/>
        <v>3.9283651068746386E-2</v>
      </c>
      <c r="O326" s="248">
        <f t="shared" si="957"/>
        <v>3.673245614035088E-2</v>
      </c>
      <c r="P326" s="248">
        <f t="shared" si="957"/>
        <v>3.6702127659574466E-2</v>
      </c>
      <c r="Q326" s="248">
        <f t="shared" si="957"/>
        <v>3.7057220708446865E-2</v>
      </c>
      <c r="R326" s="249">
        <v>3.5000000000000003E-2</v>
      </c>
      <c r="S326" s="249">
        <f t="shared" si="955"/>
        <v>3.5000000000000003E-2</v>
      </c>
      <c r="T326" s="249">
        <f t="shared" si="955"/>
        <v>3.5000000000000003E-2</v>
      </c>
      <c r="U326" s="249">
        <f t="shared" si="955"/>
        <v>3.5000000000000003E-2</v>
      </c>
      <c r="V326" s="249">
        <f t="shared" si="955"/>
        <v>3.5000000000000003E-2</v>
      </c>
      <c r="X326" s="248">
        <f t="shared" ref="X326:AB326" si="958">X258/X122</f>
        <v>5.4304102976669349E-2</v>
      </c>
      <c r="Y326" s="248">
        <f t="shared" si="958"/>
        <v>4.6794984990287836E-2</v>
      </c>
      <c r="Z326" s="248">
        <f t="shared" si="958"/>
        <v>4.0963855421686748E-2</v>
      </c>
      <c r="AA326" s="248">
        <f t="shared" si="958"/>
        <v>3.636200688404298E-2</v>
      </c>
      <c r="AB326" s="248">
        <f t="shared" si="958"/>
        <v>3.4999999999999996E-2</v>
      </c>
      <c r="AC326" s="250">
        <v>0.05</v>
      </c>
      <c r="AD326" s="250">
        <v>0.04</v>
      </c>
      <c r="AE326" s="250">
        <v>3.5000000000000003E-2</v>
      </c>
      <c r="AF326" s="250">
        <v>0.03</v>
      </c>
      <c r="AG326" s="250">
        <v>2.5000000000000001E-2</v>
      </c>
    </row>
    <row r="327" spans="2:33" x14ac:dyDescent="0.2">
      <c r="B327" s="156" t="s">
        <v>482</v>
      </c>
      <c r="C327" s="248"/>
      <c r="D327" s="248"/>
      <c r="E327" s="248"/>
      <c r="F327" s="248"/>
      <c r="G327" s="248">
        <f>G292/C292-1</f>
        <v>0.1272727272727272</v>
      </c>
      <c r="H327" s="248">
        <f t="shared" ref="H327:Q327" si="959">H292/D292-1</f>
        <v>-0.19999999999999996</v>
      </c>
      <c r="I327" s="248">
        <f t="shared" si="959"/>
        <v>-0.1063829787234043</v>
      </c>
      <c r="J327" s="248">
        <f t="shared" si="959"/>
        <v>-0.26229508196721307</v>
      </c>
      <c r="K327" s="248">
        <f t="shared" si="959"/>
        <v>3.2258064516129004E-2</v>
      </c>
      <c r="L327" s="248">
        <f t="shared" si="959"/>
        <v>-6.8181818181818232E-2</v>
      </c>
      <c r="M327" s="248">
        <f t="shared" si="959"/>
        <v>0.40476190476190466</v>
      </c>
      <c r="N327" s="248">
        <f t="shared" si="959"/>
        <v>0.82222222222222219</v>
      </c>
      <c r="O327" s="248">
        <f t="shared" si="959"/>
        <v>0.28125</v>
      </c>
      <c r="P327" s="248">
        <f t="shared" si="959"/>
        <v>0.34146341463414642</v>
      </c>
      <c r="Q327" s="248">
        <f t="shared" si="959"/>
        <v>0.38983050847457634</v>
      </c>
      <c r="R327" s="248">
        <f t="shared" ref="R327" si="960">R292/N292-1</f>
        <v>3.6635007136369468E-2</v>
      </c>
      <c r="S327" s="248">
        <f t="shared" ref="S327" si="961">S292/O292-1</f>
        <v>5.0877557199082935E-2</v>
      </c>
      <c r="T327" s="248">
        <f t="shared" ref="T327" si="962">T292/P292-1</f>
        <v>0.61642929536706115</v>
      </c>
      <c r="U327" s="248">
        <f t="shared" ref="U327" si="963">U292/Q292-1</f>
        <v>9.2426365641624431E-2</v>
      </c>
      <c r="V327" s="248">
        <f t="shared" ref="V327" si="964">V292/R292-1</f>
        <v>0.12087519220388421</v>
      </c>
      <c r="X327" s="248"/>
      <c r="Y327" s="248">
        <f>Y292/X292-1</f>
        <v>-0.11467889908256879</v>
      </c>
      <c r="Z327" s="248">
        <f t="shared" ref="Z327:AG327" si="965">Z292/Y292-1</f>
        <v>0.27461139896373066</v>
      </c>
      <c r="AA327" s="248">
        <f t="shared" si="965"/>
        <v>0.23578890481781434</v>
      </c>
      <c r="AB327" s="248">
        <f t="shared" si="965"/>
        <v>0.18397587960109685</v>
      </c>
      <c r="AC327" s="248">
        <f t="shared" si="965"/>
        <v>5.0884690660375487E-2</v>
      </c>
      <c r="AD327" s="248">
        <f t="shared" si="965"/>
        <v>-2.4150569397116795E-2</v>
      </c>
      <c r="AE327" s="248">
        <f t="shared" si="965"/>
        <v>-1.4313350893907284E-2</v>
      </c>
      <c r="AF327" s="248">
        <f t="shared" si="965"/>
        <v>-8.7581530252384576E-2</v>
      </c>
      <c r="AG327" s="248">
        <f t="shared" si="965"/>
        <v>-0.11925680609157663</v>
      </c>
    </row>
    <row r="330" spans="2:33" ht="15" x14ac:dyDescent="0.25">
      <c r="B330" s="208" t="s">
        <v>264</v>
      </c>
      <c r="C330" s="207"/>
      <c r="D330" s="207"/>
      <c r="E330" s="207"/>
      <c r="F330" s="207"/>
      <c r="G330" s="207"/>
      <c r="H330" s="207"/>
      <c r="I330" s="207"/>
      <c r="J330" s="207"/>
      <c r="K330" s="207"/>
      <c r="L330" s="207"/>
      <c r="M330" s="207"/>
      <c r="N330" s="207"/>
      <c r="O330" s="207"/>
      <c r="P330" s="207"/>
      <c r="Q330" s="207"/>
      <c r="R330" s="207"/>
      <c r="S330" s="207"/>
      <c r="T330" s="207"/>
      <c r="U330" s="207"/>
      <c r="V330" s="207"/>
      <c r="X330" s="207"/>
      <c r="Y330" s="207"/>
      <c r="Z330" s="207"/>
      <c r="AA330" s="207"/>
      <c r="AB330" s="207"/>
      <c r="AC330" s="207"/>
      <c r="AD330" s="207"/>
      <c r="AE330" s="207"/>
      <c r="AF330" s="207"/>
      <c r="AG330" s="207"/>
    </row>
    <row r="332" spans="2:33" ht="15" x14ac:dyDescent="0.25">
      <c r="B332" s="188" t="s">
        <v>265</v>
      </c>
      <c r="C332" s="167"/>
      <c r="D332" s="167"/>
      <c r="E332" s="167"/>
      <c r="F332" s="167"/>
      <c r="G332" s="167"/>
      <c r="H332" s="167"/>
      <c r="I332" s="167"/>
      <c r="J332" s="167"/>
      <c r="K332" s="167"/>
      <c r="L332" s="167"/>
      <c r="M332" s="167"/>
      <c r="N332" s="167"/>
      <c r="O332" s="167"/>
      <c r="P332" s="167"/>
      <c r="Q332" s="167"/>
      <c r="R332" s="167"/>
      <c r="S332" s="167"/>
      <c r="T332" s="167"/>
      <c r="U332" s="167"/>
      <c r="V332" s="167"/>
      <c r="X332" s="167"/>
      <c r="Y332" s="167"/>
      <c r="Z332" s="167"/>
      <c r="AA332" s="167"/>
      <c r="AB332" s="167"/>
      <c r="AC332" s="167"/>
      <c r="AD332" s="167"/>
      <c r="AE332" s="167"/>
      <c r="AF332" s="167"/>
      <c r="AG332" s="167"/>
    </row>
    <row r="333" spans="2:33" x14ac:dyDescent="0.2">
      <c r="B333" s="156" t="s">
        <v>266</v>
      </c>
      <c r="C333" s="235">
        <f>SUM(C235,C232)/C248</f>
        <v>1.2870016384489351</v>
      </c>
      <c r="D333" s="235">
        <f t="shared" ref="D333:V333" si="966">SUM(D235,D232)/D248</f>
        <v>1.1784324624791551</v>
      </c>
      <c r="E333" s="235">
        <f t="shared" si="966"/>
        <v>1.197541212629226</v>
      </c>
      <c r="F333" s="235">
        <f t="shared" si="966"/>
        <v>1.2063854047890537</v>
      </c>
      <c r="G333" s="235">
        <f t="shared" si="966"/>
        <v>1.2238935493202199</v>
      </c>
      <c r="H333" s="235">
        <f t="shared" si="966"/>
        <v>1.2189418298743058</v>
      </c>
      <c r="I333" s="235">
        <f t="shared" si="966"/>
        <v>1.2743660250534679</v>
      </c>
      <c r="J333" s="235">
        <f t="shared" si="966"/>
        <v>1.1557900583171341</v>
      </c>
      <c r="K333" s="235">
        <f t="shared" si="966"/>
        <v>1.0603562882212179</v>
      </c>
      <c r="L333" s="235">
        <f t="shared" si="966"/>
        <v>1.0566887417218542</v>
      </c>
      <c r="M333" s="235">
        <f t="shared" si="966"/>
        <v>0.9798553719008265</v>
      </c>
      <c r="N333" s="235">
        <f t="shared" si="966"/>
        <v>0.91800842209561551</v>
      </c>
      <c r="O333" s="235">
        <f t="shared" si="966"/>
        <v>0.90357317670092996</v>
      </c>
      <c r="P333" s="235">
        <f t="shared" si="966"/>
        <v>0.85550619593172783</v>
      </c>
      <c r="Q333" s="235">
        <f t="shared" si="966"/>
        <v>0.75371974239395956</v>
      </c>
      <c r="R333" s="235">
        <f t="shared" si="966"/>
        <v>0.72565941837769932</v>
      </c>
      <c r="S333" s="235">
        <f t="shared" si="966"/>
        <v>0.70060131094908717</v>
      </c>
      <c r="T333" s="235">
        <f t="shared" si="966"/>
        <v>0.67403341806071293</v>
      </c>
      <c r="U333" s="235">
        <f t="shared" si="966"/>
        <v>0.6465998794117509</v>
      </c>
      <c r="V333" s="235">
        <f t="shared" si="966"/>
        <v>0.6154279351161478</v>
      </c>
      <c r="X333" s="235">
        <f t="shared" ref="X333:AG333" si="967">SUM(X235,X232)/X248</f>
        <v>1.2063854047890537</v>
      </c>
      <c r="Y333" s="235">
        <f t="shared" si="967"/>
        <v>1.1557900583171341</v>
      </c>
      <c r="Z333" s="235">
        <f t="shared" si="967"/>
        <v>0.91800842209561551</v>
      </c>
      <c r="AA333" s="235">
        <f t="shared" si="967"/>
        <v>0.72565941837769932</v>
      </c>
      <c r="AB333" s="235">
        <f t="shared" si="967"/>
        <v>0.6154279351161478</v>
      </c>
      <c r="AC333" s="235">
        <f t="shared" si="967"/>
        <v>0.52566180258800721</v>
      </c>
      <c r="AD333" s="235">
        <f t="shared" si="967"/>
        <v>0.4355377019360836</v>
      </c>
      <c r="AE333" s="235">
        <f t="shared" si="967"/>
        <v>0.34297077579150143</v>
      </c>
      <c r="AF333" s="235">
        <f t="shared" si="967"/>
        <v>0.27098925069434243</v>
      </c>
      <c r="AG333" s="235">
        <f t="shared" si="967"/>
        <v>0.21504567168790761</v>
      </c>
    </row>
    <row r="334" spans="2:33" x14ac:dyDescent="0.2">
      <c r="B334" s="156" t="s">
        <v>267</v>
      </c>
      <c r="C334" s="235">
        <f>C239/C223</f>
        <v>0.666210919697384</v>
      </c>
      <c r="D334" s="235">
        <f t="shared" ref="D334:V334" si="968">D239/D223</f>
        <v>0.65333847191444261</v>
      </c>
      <c r="E334" s="235">
        <f t="shared" si="968"/>
        <v>0.65443661291879884</v>
      </c>
      <c r="F334" s="235">
        <f t="shared" si="968"/>
        <v>0.65671787846168905</v>
      </c>
      <c r="G334" s="235">
        <f t="shared" si="968"/>
        <v>0.65870273472208507</v>
      </c>
      <c r="H334" s="235">
        <f t="shared" si="968"/>
        <v>0.65966971746916037</v>
      </c>
      <c r="I334" s="235">
        <f t="shared" si="968"/>
        <v>0.67035955282505788</v>
      </c>
      <c r="J334" s="235">
        <f t="shared" si="968"/>
        <v>0.64885421745490002</v>
      </c>
      <c r="K334" s="235">
        <f t="shared" si="968"/>
        <v>0.63033221938274031</v>
      </c>
      <c r="L334" s="235">
        <f t="shared" si="968"/>
        <v>0.63109547542265221</v>
      </c>
      <c r="M334" s="235">
        <f t="shared" si="968"/>
        <v>0.61912256541412547</v>
      </c>
      <c r="N334" s="235">
        <f t="shared" si="968"/>
        <v>0.6128691983122363</v>
      </c>
      <c r="O334" s="235">
        <f t="shared" si="968"/>
        <v>0.60749279538904899</v>
      </c>
      <c r="P334" s="235">
        <f t="shared" si="968"/>
        <v>0.59949433467553137</v>
      </c>
      <c r="Q334" s="235">
        <f t="shared" si="968"/>
        <v>0.57349876870619432</v>
      </c>
      <c r="R334" s="235">
        <f t="shared" si="968"/>
        <v>0.56657750696732179</v>
      </c>
      <c r="S334" s="235">
        <f t="shared" si="968"/>
        <v>0.55915560604727466</v>
      </c>
      <c r="T334" s="235">
        <f t="shared" si="968"/>
        <v>0.55119528892096759</v>
      </c>
      <c r="U334" s="235">
        <f t="shared" si="968"/>
        <v>0.54070569227417897</v>
      </c>
      <c r="V334" s="235">
        <f t="shared" si="968"/>
        <v>0.53162087669219082</v>
      </c>
      <c r="X334" s="235">
        <f t="shared" ref="X334:AG334" si="969">X239/X223</f>
        <v>0.65671787846168905</v>
      </c>
      <c r="Y334" s="235">
        <f t="shared" si="969"/>
        <v>0.64885421745490002</v>
      </c>
      <c r="Z334" s="235">
        <f t="shared" si="969"/>
        <v>0.6128691983122363</v>
      </c>
      <c r="AA334" s="235">
        <f t="shared" si="969"/>
        <v>0.56657750696732179</v>
      </c>
      <c r="AB334" s="235">
        <f t="shared" si="969"/>
        <v>0.53162087669219082</v>
      </c>
      <c r="AC334" s="235">
        <f t="shared" si="969"/>
        <v>0.50261932463030246</v>
      </c>
      <c r="AD334" s="235">
        <f t="shared" si="969"/>
        <v>0.46356755935677513</v>
      </c>
      <c r="AE334" s="235">
        <f t="shared" si="969"/>
        <v>0.41573008505758341</v>
      </c>
      <c r="AF334" s="235">
        <f t="shared" si="969"/>
        <v>0.36681566169735164</v>
      </c>
      <c r="AG334" s="235">
        <f t="shared" si="969"/>
        <v>0.32215982468216492</v>
      </c>
    </row>
    <row r="336" spans="2:33" ht="15" x14ac:dyDescent="0.25">
      <c r="B336" s="188" t="s">
        <v>268</v>
      </c>
      <c r="C336" s="167"/>
      <c r="D336" s="167"/>
      <c r="E336" s="167"/>
      <c r="F336" s="167"/>
      <c r="G336" s="167"/>
      <c r="H336" s="167"/>
      <c r="I336" s="167"/>
      <c r="J336" s="167"/>
      <c r="K336" s="167"/>
      <c r="L336" s="167"/>
      <c r="M336" s="167"/>
      <c r="N336" s="167"/>
      <c r="O336" s="167"/>
      <c r="P336" s="167"/>
      <c r="Q336" s="167"/>
      <c r="R336" s="167"/>
      <c r="S336" s="167"/>
      <c r="T336" s="167"/>
      <c r="U336" s="167"/>
      <c r="V336" s="167"/>
      <c r="X336" s="167"/>
      <c r="Y336" s="167"/>
      <c r="Z336" s="167"/>
      <c r="AA336" s="167"/>
      <c r="AB336" s="167"/>
      <c r="AC336" s="167"/>
      <c r="AD336" s="167"/>
      <c r="AE336" s="167"/>
      <c r="AF336" s="167"/>
      <c r="AG336" s="167"/>
    </row>
    <row r="337" spans="2:41" x14ac:dyDescent="0.2">
      <c r="B337" s="156" t="s">
        <v>269</v>
      </c>
      <c r="C337" s="235"/>
      <c r="D337" s="235"/>
      <c r="E337" s="235"/>
      <c r="F337" s="235"/>
      <c r="G337" s="235">
        <f>SUM(D166:G166)/SUM(D190:G190)</f>
        <v>4.5820895522388057</v>
      </c>
      <c r="H337" s="235">
        <f t="shared" ref="H337:V337" si="970">SUM(E166:H166)/SUM(E190:H190)</f>
        <v>5.4110169491525424</v>
      </c>
      <c r="I337" s="235">
        <f t="shared" si="970"/>
        <v>5.7</v>
      </c>
      <c r="J337" s="235">
        <f t="shared" si="970"/>
        <v>5.9039301310043673</v>
      </c>
      <c r="K337" s="235">
        <f t="shared" si="970"/>
        <v>6.192982456140351</v>
      </c>
      <c r="L337" s="235">
        <f t="shared" si="970"/>
        <v>6.4778761061946906</v>
      </c>
      <c r="M337" s="235">
        <f t="shared" si="970"/>
        <v>6.8340807174887894</v>
      </c>
      <c r="N337" s="235">
        <f t="shared" si="970"/>
        <v>7.2798165137614683</v>
      </c>
      <c r="O337" s="235">
        <f t="shared" si="970"/>
        <v>7.9428571428571431</v>
      </c>
      <c r="P337" s="235">
        <f t="shared" si="970"/>
        <v>8.764705882352942</v>
      </c>
      <c r="Q337" s="235">
        <f t="shared" si="970"/>
        <v>9.7783505154639183</v>
      </c>
      <c r="R337" s="235">
        <f t="shared" si="970"/>
        <v>10.778727025147752</v>
      </c>
      <c r="S337" s="235">
        <f t="shared" si="970"/>
        <v>11.410646028813341</v>
      </c>
      <c r="T337" s="235">
        <f t="shared" si="970"/>
        <v>11.980885591762775</v>
      </c>
      <c r="U337" s="235">
        <f t="shared" si="970"/>
        <v>12.365932504998209</v>
      </c>
      <c r="V337" s="235">
        <f t="shared" si="970"/>
        <v>13.051854580500084</v>
      </c>
      <c r="X337" s="235">
        <f>X171/X190</f>
        <v>4.0248226950354606</v>
      </c>
      <c r="Y337" s="235">
        <f t="shared" ref="Y337:AB337" si="971">Y171/Y190</f>
        <v>5.5502183406113534</v>
      </c>
      <c r="Z337" s="235">
        <f t="shared" si="971"/>
        <v>6.9174311926605503</v>
      </c>
      <c r="AA337" s="235">
        <f t="shared" si="971"/>
        <v>10.257870895194673</v>
      </c>
      <c r="AB337" s="235">
        <f t="shared" si="971"/>
        <v>12.453295566852516</v>
      </c>
      <c r="AC337" s="235">
        <f t="shared" ref="AC337:AG337" si="972">AC171/AC190</f>
        <v>15.676118762127283</v>
      </c>
      <c r="AD337" s="235">
        <f t="shared" si="972"/>
        <v>18.518604138808623</v>
      </c>
      <c r="AE337" s="235">
        <f t="shared" si="972"/>
        <v>22.437118299321668</v>
      </c>
      <c r="AF337" s="235">
        <f t="shared" si="972"/>
        <v>25.80123540320427</v>
      </c>
      <c r="AG337" s="235">
        <f t="shared" si="972"/>
        <v>29.823766433310233</v>
      </c>
    </row>
    <row r="338" spans="2:41" x14ac:dyDescent="0.2">
      <c r="B338" s="156" t="s">
        <v>270</v>
      </c>
      <c r="C338" s="235"/>
      <c r="D338" s="235"/>
      <c r="E338" s="235"/>
      <c r="F338" s="235"/>
      <c r="G338" s="235">
        <f>(SUM(D166:G166)+SUM(D292:G292))/SUM(D190:G190)</f>
        <v>3.7425373134328357</v>
      </c>
      <c r="H338" s="235">
        <f t="shared" ref="H338:V338" si="973">(SUM(E166:H166)+SUM(E292:H292))/SUM(E190:H190)</f>
        <v>4.5042372881355934</v>
      </c>
      <c r="I338" s="235">
        <f t="shared" si="973"/>
        <v>4.7913043478260873</v>
      </c>
      <c r="J338" s="235">
        <f t="shared" si="973"/>
        <v>5.0611353711790397</v>
      </c>
      <c r="K338" s="235">
        <f t="shared" si="973"/>
        <v>5.3377192982456139</v>
      </c>
      <c r="L338" s="235">
        <f t="shared" si="973"/>
        <v>5.6283185840707963</v>
      </c>
      <c r="M338" s="235">
        <f t="shared" si="973"/>
        <v>5.8968609865470851</v>
      </c>
      <c r="N338" s="235">
        <f t="shared" si="973"/>
        <v>6.1513761467889907</v>
      </c>
      <c r="O338" s="235">
        <f t="shared" si="973"/>
        <v>6.6857142857142859</v>
      </c>
      <c r="P338" s="235">
        <f t="shared" si="973"/>
        <v>7.4019607843137258</v>
      </c>
      <c r="Q338" s="235">
        <f t="shared" si="973"/>
        <v>8.2268041237113394</v>
      </c>
      <c r="R338" s="235">
        <f t="shared" si="973"/>
        <v>9.1442965381306429</v>
      </c>
      <c r="S338" s="235">
        <f t="shared" si="973"/>
        <v>9.7080160272912011</v>
      </c>
      <c r="T338" s="235">
        <f t="shared" si="973"/>
        <v>10.037251264940641</v>
      </c>
      <c r="U338" s="235">
        <f t="shared" si="973"/>
        <v>10.379235894183955</v>
      </c>
      <c r="V338" s="235">
        <f t="shared" si="973"/>
        <v>11.006777950537556</v>
      </c>
      <c r="X338" s="235">
        <f>(X171+X292)/X190</f>
        <v>3.25177304964539</v>
      </c>
      <c r="Y338" s="235">
        <f t="shared" ref="Y338:AB338" si="974">(Y171+Y292)/Y190</f>
        <v>4.7074235807860259</v>
      </c>
      <c r="Z338" s="235">
        <f t="shared" si="974"/>
        <v>5.7889908256880735</v>
      </c>
      <c r="AA338" s="235">
        <f t="shared" si="974"/>
        <v>8.6234404081775633</v>
      </c>
      <c r="AB338" s="235">
        <f t="shared" si="974"/>
        <v>10.408218936889986</v>
      </c>
      <c r="AC338" s="235">
        <f t="shared" ref="AC338:AG338" si="975">(AC171+AC292)/AC190</f>
        <v>13.526979040472348</v>
      </c>
      <c r="AD338" s="235">
        <f t="shared" si="975"/>
        <v>16.421367365145613</v>
      </c>
      <c r="AE338" s="235">
        <f t="shared" si="975"/>
        <v>20.369900011507703</v>
      </c>
      <c r="AF338" s="235">
        <f t="shared" si="975"/>
        <v>23.915067256402768</v>
      </c>
      <c r="AG338" s="235">
        <f t="shared" si="975"/>
        <v>28.162536675447949</v>
      </c>
    </row>
    <row r="340" spans="2:41" ht="15" x14ac:dyDescent="0.25">
      <c r="B340" s="188" t="s">
        <v>271</v>
      </c>
      <c r="C340" s="167"/>
      <c r="D340" s="167"/>
      <c r="E340" s="167"/>
      <c r="F340" s="167"/>
      <c r="G340" s="167"/>
      <c r="H340" s="167"/>
      <c r="I340" s="167"/>
      <c r="J340" s="167"/>
      <c r="K340" s="167"/>
      <c r="L340" s="167"/>
      <c r="M340" s="167"/>
      <c r="N340" s="167"/>
      <c r="O340" s="167"/>
      <c r="P340" s="167"/>
      <c r="Q340" s="167"/>
      <c r="R340" s="167"/>
      <c r="S340" s="167"/>
      <c r="T340" s="167"/>
      <c r="U340" s="167"/>
      <c r="V340" s="167"/>
      <c r="X340" s="167"/>
      <c r="Y340" s="167"/>
      <c r="Z340" s="167"/>
      <c r="AA340" s="167"/>
      <c r="AB340" s="167"/>
      <c r="AC340" s="167"/>
      <c r="AD340" s="167"/>
      <c r="AE340" s="167"/>
      <c r="AF340" s="167"/>
      <c r="AG340" s="167"/>
    </row>
    <row r="341" spans="2:41" x14ac:dyDescent="0.2">
      <c r="B341" s="156" t="s">
        <v>272</v>
      </c>
      <c r="C341" s="235"/>
      <c r="D341" s="235"/>
      <c r="E341" s="235"/>
      <c r="F341" s="235"/>
      <c r="G341" s="235">
        <f t="shared" ref="G341:V341" si="976">SUM(G235,G232)/SUM(D166:G166)</f>
        <v>3.4454397394136809</v>
      </c>
      <c r="H341" s="235">
        <f t="shared" si="976"/>
        <v>3.2654659357870006</v>
      </c>
      <c r="I341" s="235">
        <f t="shared" si="976"/>
        <v>3.181540808543097</v>
      </c>
      <c r="J341" s="235">
        <f t="shared" si="976"/>
        <v>3.0784023668639051</v>
      </c>
      <c r="K341" s="235">
        <f t="shared" si="976"/>
        <v>2.8243626062322944</v>
      </c>
      <c r="L341" s="235">
        <f t="shared" si="976"/>
        <v>2.7247267759562841</v>
      </c>
      <c r="M341" s="235">
        <f t="shared" si="976"/>
        <v>2.4895013123359582</v>
      </c>
      <c r="N341" s="235">
        <f t="shared" si="976"/>
        <v>2.3352236925015752</v>
      </c>
      <c r="O341" s="235">
        <f t="shared" si="976"/>
        <v>2.2134292565947242</v>
      </c>
      <c r="P341" s="235">
        <f t="shared" si="976"/>
        <v>2.046420581655481</v>
      </c>
      <c r="Q341" s="235">
        <f t="shared" si="976"/>
        <v>1.7891407485503426</v>
      </c>
      <c r="R341" s="235">
        <f t="shared" si="976"/>
        <v>1.6924016575715175</v>
      </c>
      <c r="S341" s="235">
        <f t="shared" si="976"/>
        <v>1.6428391789786025</v>
      </c>
      <c r="T341" s="235">
        <f t="shared" si="976"/>
        <v>1.609097169257971</v>
      </c>
      <c r="U341" s="235">
        <f t="shared" si="976"/>
        <v>1.5589935561363379</v>
      </c>
      <c r="V341" s="235">
        <f t="shared" si="976"/>
        <v>1.4770628167825046</v>
      </c>
      <c r="X341" s="235">
        <f>SUM(X235,X232)/X171</f>
        <v>3.72863436123348</v>
      </c>
      <c r="Y341" s="235">
        <f t="shared" ref="Y341:AG341" si="977">SUM(Y235,Y232)/Y171</f>
        <v>3.2745869394177811</v>
      </c>
      <c r="Z341" s="235">
        <f t="shared" si="977"/>
        <v>2.4575596816976129</v>
      </c>
      <c r="AA341" s="235">
        <f t="shared" si="977"/>
        <v>1.7783354528683386</v>
      </c>
      <c r="AB341" s="235">
        <f t="shared" si="977"/>
        <v>1.548056816560532</v>
      </c>
      <c r="AC341" s="235">
        <f t="shared" si="977"/>
        <v>1.2297947842475372</v>
      </c>
      <c r="AD341" s="235">
        <f t="shared" si="977"/>
        <v>1.0410292777147376</v>
      </c>
      <c r="AE341" s="235">
        <f t="shared" si="977"/>
        <v>0.85921947879964278</v>
      </c>
      <c r="AF341" s="235">
        <f t="shared" si="977"/>
        <v>0.74718938026180304</v>
      </c>
      <c r="AG341" s="235">
        <f t="shared" si="977"/>
        <v>0.64641094658577369</v>
      </c>
    </row>
    <row r="342" spans="2:41" x14ac:dyDescent="0.2">
      <c r="B342" s="156" t="s">
        <v>273</v>
      </c>
      <c r="C342" s="235"/>
      <c r="D342" s="235"/>
      <c r="E342" s="235"/>
      <c r="F342" s="235"/>
      <c r="G342" s="235">
        <f t="shared" ref="G342:V342" si="978">(SUM(G235,G232)-G211)/SUM(D166:G166)</f>
        <v>3.021986970684039</v>
      </c>
      <c r="H342" s="235">
        <f t="shared" si="978"/>
        <v>2.8449490994518403</v>
      </c>
      <c r="I342" s="235">
        <f t="shared" si="978"/>
        <v>2.8360030511060259</v>
      </c>
      <c r="J342" s="235">
        <f t="shared" si="978"/>
        <v>2.4933431952662723</v>
      </c>
      <c r="K342" s="235">
        <f t="shared" si="978"/>
        <v>2.4440509915014164</v>
      </c>
      <c r="L342" s="235">
        <f t="shared" si="978"/>
        <v>2.3592896174863389</v>
      </c>
      <c r="M342" s="235">
        <f t="shared" si="978"/>
        <v>2.2112860892388451</v>
      </c>
      <c r="N342" s="235">
        <f t="shared" si="978"/>
        <v>1.9508506616257089</v>
      </c>
      <c r="O342" s="235">
        <f t="shared" si="978"/>
        <v>1.8938848920863309</v>
      </c>
      <c r="P342" s="235">
        <f t="shared" si="978"/>
        <v>1.6258389261744965</v>
      </c>
      <c r="Q342" s="235">
        <f t="shared" si="978"/>
        <v>1.5387453874538746</v>
      </c>
      <c r="R342" s="235">
        <f t="shared" si="978"/>
        <v>1.406637325003216</v>
      </c>
      <c r="S342" s="235">
        <f t="shared" si="978"/>
        <v>1.3080331809458534</v>
      </c>
      <c r="T342" s="235">
        <f t="shared" si="978"/>
        <v>1.2168731457878661</v>
      </c>
      <c r="U342" s="235">
        <f t="shared" si="978"/>
        <v>1.0867020865863302</v>
      </c>
      <c r="V342" s="235">
        <f t="shared" si="978"/>
        <v>0.9544332176528918</v>
      </c>
      <c r="X342" s="235">
        <f>(SUM(X235,X232)-X211)/X171</f>
        <v>3.0942731277533038</v>
      </c>
      <c r="Y342" s="235">
        <f t="shared" ref="Y342:AG342" si="979">(SUM(Y235,Y232)-Y211)/Y171</f>
        <v>2.6522423288749017</v>
      </c>
      <c r="Z342" s="235">
        <f t="shared" si="979"/>
        <v>2.0530503978779842</v>
      </c>
      <c r="AA342" s="235">
        <f t="shared" si="979"/>
        <v>1.4780610815345974</v>
      </c>
      <c r="AB342" s="235">
        <f t="shared" si="979"/>
        <v>1.0003073882516693</v>
      </c>
      <c r="AC342" s="235">
        <f t="shared" si="979"/>
        <v>0.47386635151266876</v>
      </c>
      <c r="AD342" s="235">
        <f t="shared" si="979"/>
        <v>-7.9674195609517745E-3</v>
      </c>
      <c r="AE342" s="235">
        <f t="shared" si="979"/>
        <v>-0.52730035446806633</v>
      </c>
      <c r="AF342" s="235">
        <f t="shared" si="979"/>
        <v>-1.0504147992719592</v>
      </c>
      <c r="AG342" s="235">
        <f t="shared" si="979"/>
        <v>-1.5425770871775433</v>
      </c>
    </row>
    <row r="344" spans="2:41" x14ac:dyDescent="0.2">
      <c r="B344" s="156" t="s">
        <v>320</v>
      </c>
      <c r="C344" s="169">
        <f t="shared" ref="C344:V344" si="980">C171+C292</f>
        <v>220</v>
      </c>
      <c r="D344" s="169">
        <f t="shared" si="980"/>
        <v>217</v>
      </c>
      <c r="E344" s="169">
        <f t="shared" si="980"/>
        <v>245</v>
      </c>
      <c r="F344" s="169">
        <f t="shared" si="980"/>
        <v>235</v>
      </c>
      <c r="G344" s="169">
        <f t="shared" si="980"/>
        <v>238</v>
      </c>
      <c r="H344" s="169">
        <f t="shared" si="980"/>
        <v>273</v>
      </c>
      <c r="I344" s="169">
        <f t="shared" si="980"/>
        <v>281</v>
      </c>
      <c r="J344" s="169">
        <f t="shared" si="980"/>
        <v>286</v>
      </c>
      <c r="K344" s="169">
        <f t="shared" si="980"/>
        <v>296</v>
      </c>
      <c r="L344" s="169">
        <f t="shared" si="980"/>
        <v>327</v>
      </c>
      <c r="M344" s="169">
        <f t="shared" si="980"/>
        <v>323</v>
      </c>
      <c r="N344" s="169">
        <f t="shared" si="980"/>
        <v>316</v>
      </c>
      <c r="O344" s="169">
        <f t="shared" si="980"/>
        <v>355</v>
      </c>
      <c r="P344" s="169">
        <f t="shared" si="980"/>
        <v>428</v>
      </c>
      <c r="Q344" s="169">
        <f t="shared" si="980"/>
        <v>405</v>
      </c>
      <c r="R344" s="169">
        <f t="shared" si="980"/>
        <v>415.95991592102666</v>
      </c>
      <c r="S344" s="169">
        <f t="shared" si="980"/>
        <v>409.09068347463005</v>
      </c>
      <c r="T344" s="169">
        <f t="shared" si="980"/>
        <v>436.38475254491186</v>
      </c>
      <c r="U344" s="169">
        <f t="shared" si="980"/>
        <v>462.97106197142443</v>
      </c>
      <c r="V344" s="169">
        <f t="shared" si="980"/>
        <v>523.40003490167112</v>
      </c>
      <c r="W344" s="169"/>
      <c r="X344" s="169">
        <f t="shared" ref="X344:AG344" si="981">X171+X292</f>
        <v>917</v>
      </c>
      <c r="Y344" s="169">
        <f t="shared" si="981"/>
        <v>1078</v>
      </c>
      <c r="Z344" s="169">
        <f t="shared" si="981"/>
        <v>1262</v>
      </c>
      <c r="AA344" s="169">
        <f t="shared" si="981"/>
        <v>1603.9599159210268</v>
      </c>
      <c r="AB344" s="169">
        <f t="shared" si="981"/>
        <v>1831.8465328926375</v>
      </c>
      <c r="AC344" s="169">
        <f t="shared" si="981"/>
        <v>2380.7483111231331</v>
      </c>
      <c r="AD344" s="169">
        <f t="shared" si="981"/>
        <v>2890.1606562656279</v>
      </c>
      <c r="AE344" s="169">
        <f t="shared" si="981"/>
        <v>3585.1024020253558</v>
      </c>
      <c r="AF344" s="169">
        <f t="shared" si="981"/>
        <v>4209.0518371268872</v>
      </c>
      <c r="AG344" s="169">
        <f t="shared" si="981"/>
        <v>4956.606454878839</v>
      </c>
    </row>
    <row r="345" spans="2:41" x14ac:dyDescent="0.2">
      <c r="B345" s="156" t="s">
        <v>28</v>
      </c>
      <c r="C345" s="158">
        <f t="shared" ref="C345:V345" si="982">C344/C122</f>
        <v>0.18196856906534326</v>
      </c>
      <c r="D345" s="158">
        <f t="shared" si="982"/>
        <v>0.18158995815899581</v>
      </c>
      <c r="E345" s="158">
        <f t="shared" si="982"/>
        <v>0.19095869056897896</v>
      </c>
      <c r="F345" s="158">
        <f t="shared" si="982"/>
        <v>0.1828793774319066</v>
      </c>
      <c r="G345" s="158">
        <f t="shared" si="982"/>
        <v>0.1797583081570997</v>
      </c>
      <c r="H345" s="158">
        <f t="shared" si="982"/>
        <v>0.19597989949748743</v>
      </c>
      <c r="I345" s="158">
        <f t="shared" si="982"/>
        <v>0.19609211444521982</v>
      </c>
      <c r="J345" s="158">
        <f t="shared" si="982"/>
        <v>0.18902842035690681</v>
      </c>
      <c r="K345" s="158">
        <f t="shared" si="982"/>
        <v>0.18465377417342482</v>
      </c>
      <c r="L345" s="158">
        <f t="shared" si="982"/>
        <v>0.19842233009708737</v>
      </c>
      <c r="M345" s="158">
        <f t="shared" si="982"/>
        <v>0.1948130277442702</v>
      </c>
      <c r="N345" s="158">
        <f t="shared" si="982"/>
        <v>0.18255343731946852</v>
      </c>
      <c r="O345" s="158">
        <f t="shared" si="982"/>
        <v>0.19462719298245615</v>
      </c>
      <c r="P345" s="158">
        <f t="shared" si="982"/>
        <v>0.2276595744680851</v>
      </c>
      <c r="Q345" s="158">
        <f t="shared" si="982"/>
        <v>0.22070844686648503</v>
      </c>
      <c r="R345" s="158">
        <f t="shared" si="982"/>
        <v>0.21867016985724638</v>
      </c>
      <c r="S345" s="158">
        <f t="shared" si="982"/>
        <v>0.21214431751707549</v>
      </c>
      <c r="T345" s="158">
        <f t="shared" si="982"/>
        <v>0.2193451061796311</v>
      </c>
      <c r="U345" s="158">
        <f t="shared" si="982"/>
        <v>0.23095406169849411</v>
      </c>
      <c r="V345" s="158">
        <f t="shared" si="982"/>
        <v>0.24547911594652813</v>
      </c>
      <c r="W345" s="158"/>
      <c r="X345" s="158">
        <f t="shared" ref="X345:AG345" si="983">X344/X122</f>
        <v>0.1844328238133548</v>
      </c>
      <c r="Y345" s="158">
        <f t="shared" si="983"/>
        <v>0.19035846724351049</v>
      </c>
      <c r="Z345" s="158">
        <f t="shared" si="983"/>
        <v>0.19006024096385543</v>
      </c>
      <c r="AA345" s="158">
        <f t="shared" si="983"/>
        <v>0.21555051279856155</v>
      </c>
      <c r="AB345" s="158">
        <f t="shared" si="983"/>
        <v>0.22742835859727589</v>
      </c>
      <c r="AC345" s="158">
        <f t="shared" si="983"/>
        <v>0.25176546511468234</v>
      </c>
      <c r="AD345" s="158">
        <f t="shared" si="983"/>
        <v>0.27405005719800007</v>
      </c>
      <c r="AE345" s="158">
        <f t="shared" si="983"/>
        <v>0.29561319380134371</v>
      </c>
      <c r="AF345" s="158">
        <f t="shared" si="983"/>
        <v>0.31697952402808177</v>
      </c>
      <c r="AG345" s="158">
        <f t="shared" si="983"/>
        <v>0.33905649164012358</v>
      </c>
    </row>
    <row r="349" spans="2:41" ht="15" x14ac:dyDescent="0.25">
      <c r="B349" s="208" t="s">
        <v>511</v>
      </c>
      <c r="C349" s="207"/>
      <c r="D349" s="207"/>
      <c r="E349" s="207"/>
      <c r="F349" s="207"/>
      <c r="G349" s="207"/>
      <c r="H349" s="207"/>
      <c r="I349" s="207"/>
      <c r="J349" s="207"/>
      <c r="K349" s="207"/>
      <c r="L349" s="207"/>
      <c r="M349" s="207"/>
      <c r="N349" s="207"/>
      <c r="O349" s="207"/>
      <c r="P349" s="207"/>
      <c r="Q349" s="207"/>
      <c r="R349" s="207"/>
      <c r="S349" s="207"/>
      <c r="T349" s="207"/>
      <c r="U349" s="207"/>
      <c r="V349" s="207"/>
      <c r="X349" s="207"/>
      <c r="Y349" s="207"/>
      <c r="Z349" s="207"/>
      <c r="AA349" s="207"/>
      <c r="AB349" s="207"/>
      <c r="AC349" s="207"/>
      <c r="AD349" s="207"/>
      <c r="AE349" s="207"/>
      <c r="AF349" s="207"/>
      <c r="AG349" s="207"/>
      <c r="AH349" s="207"/>
      <c r="AI349" s="207"/>
      <c r="AJ349" s="207"/>
      <c r="AK349" s="207"/>
      <c r="AL349" s="207"/>
      <c r="AN349" s="207"/>
      <c r="AO349" s="207"/>
    </row>
    <row r="353" spans="40:51" ht="15" x14ac:dyDescent="0.25">
      <c r="AN353" s="2" t="s">
        <v>512</v>
      </c>
      <c r="AO353" s="2"/>
      <c r="AP353" s="3"/>
      <c r="AQ353" s="3"/>
      <c r="AR353" s="3"/>
      <c r="AS353" s="3"/>
      <c r="AT353" s="3"/>
      <c r="AU353" s="3"/>
      <c r="AV353" s="3"/>
      <c r="AW353" s="3"/>
      <c r="AX353" s="3"/>
    </row>
    <row r="354" spans="40:51" x14ac:dyDescent="0.2">
      <c r="AN354" s="1"/>
      <c r="AO354" s="1"/>
    </row>
    <row r="355" spans="40:51" x14ac:dyDescent="0.2">
      <c r="AN355" s="64" t="s">
        <v>57</v>
      </c>
      <c r="AO355" s="64"/>
      <c r="AP355" s="34"/>
      <c r="AQ355" s="34"/>
      <c r="AR355" s="34"/>
      <c r="AT355" s="64" t="s">
        <v>514</v>
      </c>
      <c r="AU355" s="64"/>
      <c r="AV355" s="34"/>
      <c r="AW355" s="34"/>
      <c r="AX355" s="34"/>
    </row>
    <row r="356" spans="40:51" ht="15" x14ac:dyDescent="0.25">
      <c r="AN356" s="65"/>
      <c r="AO356" s="412" t="s">
        <v>515</v>
      </c>
      <c r="AP356" s="406"/>
      <c r="AQ356" s="67"/>
      <c r="AR356" s="67"/>
      <c r="AT356" s="65"/>
      <c r="AU356" s="413" t="s">
        <v>515</v>
      </c>
      <c r="AV356" s="406"/>
      <c r="AW356" s="67"/>
      <c r="AX356" s="67"/>
    </row>
    <row r="357" spans="40:51" ht="15" x14ac:dyDescent="0.25">
      <c r="AN357" s="68"/>
      <c r="AO357" s="410"/>
      <c r="AP357" s="407"/>
      <c r="AQ357" s="411">
        <v>7.7069183378385184E-2</v>
      </c>
      <c r="AR357" s="411">
        <v>0.12297541807113038</v>
      </c>
      <c r="AT357" s="68"/>
      <c r="AU357" s="410"/>
      <c r="AV357" s="407"/>
      <c r="AW357" s="411">
        <v>7.7069183378385184E-2</v>
      </c>
      <c r="AX357" s="411">
        <v>0.12297541807113038</v>
      </c>
    </row>
    <row r="358" spans="40:51" ht="15" hidden="1" outlineLevel="1" x14ac:dyDescent="0.25">
      <c r="AN358" s="71" t="s">
        <v>501</v>
      </c>
      <c r="AO358" s="409"/>
      <c r="AP358" s="69">
        <f>'IRR Analysis'!E18</f>
        <v>174.66413680211261</v>
      </c>
      <c r="AQ358" s="77" t="s">
        <v>505</v>
      </c>
      <c r="AR358" s="77" t="s">
        <v>510</v>
      </c>
      <c r="AT358" s="71" t="s">
        <v>501</v>
      </c>
      <c r="AU358" s="69"/>
      <c r="AV358" s="69">
        <f>'IRR Analysis'!E35</f>
        <v>0.25128168463706979</v>
      </c>
      <c r="AW358" s="77" t="s">
        <v>505</v>
      </c>
      <c r="AX358" s="77" t="s">
        <v>510</v>
      </c>
    </row>
    <row r="359" spans="40:51" ht="15" collapsed="1" x14ac:dyDescent="0.25">
      <c r="AN359" s="71" t="s">
        <v>296</v>
      </c>
      <c r="AO359" s="408">
        <v>0.28298525357944299</v>
      </c>
      <c r="AP359" s="79" t="s">
        <v>505</v>
      </c>
      <c r="AQ359" s="72">
        <f t="dataTable" ref="AQ359:AR360" dt2D="1" dtr="1" r1="AL106" r2="AL156"/>
        <v>140.61906094066359</v>
      </c>
      <c r="AR359" s="72">
        <v>159.41722370426453</v>
      </c>
      <c r="AT359" s="71" t="s">
        <v>296</v>
      </c>
      <c r="AU359" s="408">
        <v>0.28298525357944299</v>
      </c>
      <c r="AV359" s="79" t="s">
        <v>505</v>
      </c>
      <c r="AW359" s="76">
        <f t="dataTable" ref="AW359:AX360" dt2D="1" dtr="1" r1="AL106" r2="AL156" ca="1"/>
        <v>0.12301124930381777</v>
      </c>
      <c r="AX359" s="76">
        <v>0.19553920626640317</v>
      </c>
    </row>
    <row r="360" spans="40:51" ht="15" x14ac:dyDescent="0.25">
      <c r="AN360" s="71" t="s">
        <v>473</v>
      </c>
      <c r="AO360" s="408">
        <v>0.3097690371400712</v>
      </c>
      <c r="AP360" s="79" t="s">
        <v>510</v>
      </c>
      <c r="AQ360" s="73">
        <v>153.10510931824362</v>
      </c>
      <c r="AR360" s="73">
        <v>174.66413680211261</v>
      </c>
      <c r="AT360" s="71" t="s">
        <v>473</v>
      </c>
      <c r="AU360" s="408">
        <v>0.3097690371400712</v>
      </c>
      <c r="AV360" s="79" t="s">
        <v>510</v>
      </c>
      <c r="AW360" s="76">
        <v>0.17168626189231873</v>
      </c>
      <c r="AX360" s="76">
        <v>0.25128168463706979</v>
      </c>
    </row>
    <row r="361" spans="40:51" x14ac:dyDescent="0.2">
      <c r="AN361" s="1"/>
      <c r="AO361" s="1"/>
    </row>
    <row r="362" spans="40:51" x14ac:dyDescent="0.2">
      <c r="AN362" s="1"/>
      <c r="AO362" s="1"/>
    </row>
    <row r="363" spans="40:51" x14ac:dyDescent="0.2">
      <c r="AN363" s="156" t="s">
        <v>516</v>
      </c>
      <c r="AO363" s="414">
        <v>95.210345187070672</v>
      </c>
      <c r="AQ363" s="414">
        <f>AO368-AO363</f>
        <v>15.619654812929326</v>
      </c>
      <c r="AX363" s="357">
        <f>AX359-AW359</f>
        <v>7.2527956962585405E-2</v>
      </c>
      <c r="AY363" s="158">
        <f>AX363/$AX$365</f>
        <v>0.5654300367357038</v>
      </c>
    </row>
    <row r="364" spans="40:51" x14ac:dyDescent="0.2">
      <c r="AN364" s="156" t="s">
        <v>518</v>
      </c>
      <c r="AO364" s="414">
        <f>AR360</f>
        <v>174.66413680211261</v>
      </c>
      <c r="AQ364" s="414">
        <f>AO364-AO368</f>
        <v>63.83413680211261</v>
      </c>
      <c r="AX364" s="357">
        <f>AX360-AX359</f>
        <v>5.574247837066662E-2</v>
      </c>
      <c r="AY364" s="158">
        <f>AX364/$AX$365</f>
        <v>0.43456996326429626</v>
      </c>
    </row>
    <row r="365" spans="40:51" x14ac:dyDescent="0.2">
      <c r="AX365" s="357">
        <f>AX360-AW359</f>
        <v>0.12827043533325203</v>
      </c>
    </row>
    <row r="366" spans="40:51" x14ac:dyDescent="0.2">
      <c r="AN366" s="156" t="s">
        <v>517</v>
      </c>
      <c r="AO366" s="415">
        <f>(AO368-AO363)/(AR360-AO368)</f>
        <v>0.24469125134958181</v>
      </c>
    </row>
    <row r="368" spans="40:51" x14ac:dyDescent="0.2">
      <c r="AN368" s="156" t="s">
        <v>50</v>
      </c>
      <c r="AO368" s="414">
        <f>A2</f>
        <v>110.83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78B523-446F-43FE-BE42-76BC0745F9CF}">
  <dimension ref="B3:J28"/>
  <sheetViews>
    <sheetView showGridLines="0" topLeftCell="A19" zoomScale="89" workbookViewId="0">
      <selection activeCell="B47" sqref="B47"/>
    </sheetView>
  </sheetViews>
  <sheetFormatPr defaultRowHeight="14.25" x14ac:dyDescent="0.2"/>
  <cols>
    <col min="1" max="1" width="9.140625" style="156"/>
    <col min="2" max="2" width="32.42578125" style="156" bestFit="1" customWidth="1"/>
    <col min="3" max="3" width="10.42578125" style="156" bestFit="1" customWidth="1"/>
    <col min="4" max="4" width="11.5703125" style="156" bestFit="1" customWidth="1"/>
    <col min="5" max="5" width="1.140625" style="156" customWidth="1"/>
    <col min="6" max="7" width="10.42578125" style="156" bestFit="1" customWidth="1"/>
    <col min="8" max="8" width="1.140625" style="156" customWidth="1"/>
    <col min="9" max="9" width="9.28515625" style="156" bestFit="1" customWidth="1"/>
    <col min="10" max="10" width="10.42578125" style="156" bestFit="1" customWidth="1"/>
    <col min="11" max="16384" width="9.140625" style="156"/>
  </cols>
  <sheetData>
    <row r="3" spans="2:10" ht="15" x14ac:dyDescent="0.25">
      <c r="B3" s="208"/>
      <c r="C3" s="400" t="s">
        <v>480</v>
      </c>
      <c r="D3" s="400"/>
      <c r="F3" s="400" t="s">
        <v>508</v>
      </c>
      <c r="G3" s="400"/>
      <c r="I3" s="401" t="s">
        <v>499</v>
      </c>
      <c r="J3" s="400"/>
    </row>
    <row r="4" spans="2:10" ht="15" x14ac:dyDescent="0.25">
      <c r="B4" s="201"/>
      <c r="C4" s="402" t="s">
        <v>500</v>
      </c>
      <c r="D4" s="402" t="s">
        <v>501</v>
      </c>
      <c r="F4" s="402" t="s">
        <v>500</v>
      </c>
      <c r="G4" s="402" t="s">
        <v>501</v>
      </c>
      <c r="I4" s="402" t="s">
        <v>500</v>
      </c>
      <c r="J4" s="402" t="s">
        <v>501</v>
      </c>
    </row>
    <row r="6" spans="2:10" x14ac:dyDescent="0.2">
      <c r="B6" s="156" t="s">
        <v>382</v>
      </c>
      <c r="C6" s="182">
        <f>Model!AC127</f>
        <v>4721.3526955580655</v>
      </c>
      <c r="D6" s="182">
        <f>Model!AD127</f>
        <v>5038.1893162996421</v>
      </c>
      <c r="F6" s="182">
        <v>4721.3526955580655</v>
      </c>
      <c r="G6" s="182">
        <v>5038.1893162996421</v>
      </c>
      <c r="I6" s="182">
        <f>C6-F6</f>
        <v>0</v>
      </c>
      <c r="J6" s="182">
        <f t="shared" ref="J6:J10" si="0">D6-G6</f>
        <v>0</v>
      </c>
    </row>
    <row r="7" spans="2:10" x14ac:dyDescent="0.2">
      <c r="B7" s="156" t="s">
        <v>383</v>
      </c>
      <c r="C7" s="182">
        <f>Model!AC128</f>
        <v>1421.9038040251676</v>
      </c>
      <c r="D7" s="182">
        <f>Model!AD128</f>
        <v>1516.033367951924</v>
      </c>
      <c r="F7" s="182">
        <v>1421.9038040251676</v>
      </c>
      <c r="G7" s="182">
        <v>1516.033367951924</v>
      </c>
      <c r="I7" s="182">
        <f t="shared" ref="I7:I10" si="1">C7-F7</f>
        <v>0</v>
      </c>
      <c r="J7" s="182">
        <f t="shared" si="0"/>
        <v>0</v>
      </c>
    </row>
    <row r="8" spans="2:10" x14ac:dyDescent="0.2">
      <c r="B8" s="156" t="s">
        <v>384</v>
      </c>
      <c r="C8" s="182">
        <f>Model!AC129</f>
        <v>1444.8721938775509</v>
      </c>
      <c r="D8" s="182">
        <f>Model!AD129</f>
        <v>1461.530969387755</v>
      </c>
      <c r="F8" s="182">
        <v>1444.8721938775509</v>
      </c>
      <c r="G8" s="182">
        <v>1461.530969387755</v>
      </c>
      <c r="I8" s="182">
        <f t="shared" si="1"/>
        <v>0</v>
      </c>
      <c r="J8" s="182">
        <f t="shared" si="0"/>
        <v>0</v>
      </c>
    </row>
    <row r="9" spans="2:10" x14ac:dyDescent="0.2">
      <c r="B9" s="156" t="s">
        <v>4</v>
      </c>
      <c r="C9" s="182">
        <f>Model!AC130</f>
        <v>1868.0860818209351</v>
      </c>
      <c r="D9" s="182">
        <f>Model!AD130</f>
        <v>2530.3512653518042</v>
      </c>
      <c r="F9" s="182">
        <v>1345.8713065392164</v>
      </c>
      <c r="G9" s="182">
        <v>1434.6663463606787</v>
      </c>
      <c r="I9" s="182">
        <f t="shared" si="1"/>
        <v>522.21477528171863</v>
      </c>
      <c r="J9" s="182">
        <f t="shared" si="0"/>
        <v>1095.6849189911254</v>
      </c>
    </row>
    <row r="10" spans="2:10" ht="15" x14ac:dyDescent="0.25">
      <c r="B10" s="164" t="s">
        <v>381</v>
      </c>
      <c r="C10" s="241">
        <f>SUM(C6:C9)</f>
        <v>9456.2147752817182</v>
      </c>
      <c r="D10" s="241">
        <f>SUM(D6:D9)</f>
        <v>10546.104918991126</v>
      </c>
      <c r="F10" s="241">
        <f>SUM(F6:F9)</f>
        <v>8934</v>
      </c>
      <c r="G10" s="241">
        <f>SUM(G6:G9)</f>
        <v>9450.42</v>
      </c>
      <c r="I10" s="241">
        <f t="shared" si="1"/>
        <v>522.21477528171818</v>
      </c>
      <c r="J10" s="241">
        <f t="shared" si="0"/>
        <v>1095.6849189911263</v>
      </c>
    </row>
    <row r="11" spans="2:10" x14ac:dyDescent="0.2">
      <c r="C11" s="182"/>
      <c r="D11" s="182"/>
      <c r="F11" s="182"/>
      <c r="G11" s="182"/>
      <c r="I11" s="182"/>
      <c r="J11" s="182"/>
    </row>
    <row r="12" spans="2:10" x14ac:dyDescent="0.2">
      <c r="B12" s="156" t="s">
        <v>5</v>
      </c>
      <c r="C12" s="182">
        <f>Model!AC151</f>
        <v>5176.3547752817194</v>
      </c>
      <c r="D12" s="182">
        <f>Model!AD151</f>
        <v>6050.9349189911254</v>
      </c>
      <c r="F12" s="182">
        <v>4654.1400000000003</v>
      </c>
      <c r="G12" s="182">
        <v>4955.25</v>
      </c>
      <c r="I12" s="182">
        <f>C12-F12</f>
        <v>522.21477528171908</v>
      </c>
      <c r="J12" s="182">
        <f t="shared" ref="J12:J16" si="2">D12-G12</f>
        <v>1095.6849189911254</v>
      </c>
    </row>
    <row r="13" spans="2:10" x14ac:dyDescent="0.2">
      <c r="B13" s="156" t="s">
        <v>6</v>
      </c>
      <c r="C13" s="182">
        <f>Model!AC152</f>
        <v>1886.8599999999997</v>
      </c>
      <c r="D13" s="182">
        <f>Model!AD152</f>
        <v>2025.4999999999998</v>
      </c>
      <c r="F13" s="182">
        <v>1886.8599999999997</v>
      </c>
      <c r="G13" s="182">
        <v>2025.4999999999998</v>
      </c>
      <c r="I13" s="182">
        <f t="shared" ref="I13:I16" si="3">C13-F13</f>
        <v>0</v>
      </c>
      <c r="J13" s="182">
        <f t="shared" si="2"/>
        <v>0</v>
      </c>
    </row>
    <row r="14" spans="2:10" x14ac:dyDescent="0.2">
      <c r="B14" s="156" t="s">
        <v>7</v>
      </c>
      <c r="C14" s="182">
        <f>Model!AC153</f>
        <v>1261</v>
      </c>
      <c r="D14" s="182">
        <f>Model!AD153</f>
        <v>1344</v>
      </c>
      <c r="F14" s="182">
        <v>1261</v>
      </c>
      <c r="G14" s="182">
        <v>1344</v>
      </c>
      <c r="I14" s="182">
        <f t="shared" si="3"/>
        <v>0</v>
      </c>
      <c r="J14" s="182">
        <f t="shared" si="2"/>
        <v>0</v>
      </c>
    </row>
    <row r="15" spans="2:10" x14ac:dyDescent="0.2">
      <c r="B15" s="156" t="s">
        <v>8</v>
      </c>
      <c r="C15" s="182">
        <f>Model!AC154</f>
        <v>1132</v>
      </c>
      <c r="D15" s="182">
        <f>Model!AD154</f>
        <v>1125.67</v>
      </c>
      <c r="F15" s="182">
        <v>1132</v>
      </c>
      <c r="G15" s="182">
        <v>1125.67</v>
      </c>
      <c r="I15" s="182">
        <f t="shared" si="3"/>
        <v>0</v>
      </c>
      <c r="J15" s="182">
        <f t="shared" si="2"/>
        <v>0</v>
      </c>
    </row>
    <row r="16" spans="2:10" ht="15" x14ac:dyDescent="0.25">
      <c r="B16" s="164" t="s">
        <v>381</v>
      </c>
      <c r="C16" s="241">
        <f>SUM(C12:C15)</f>
        <v>9456.2147752817182</v>
      </c>
      <c r="D16" s="241">
        <f>SUM(D12:D15)</f>
        <v>10546.104918991126</v>
      </c>
      <c r="F16" s="241">
        <f>SUM(F12:F15)</f>
        <v>8934</v>
      </c>
      <c r="G16" s="241">
        <f>SUM(G12:G15)</f>
        <v>9450.42</v>
      </c>
      <c r="I16" s="241">
        <f t="shared" si="3"/>
        <v>522.21477528171818</v>
      </c>
      <c r="J16" s="241">
        <f t="shared" si="2"/>
        <v>1095.6849189911263</v>
      </c>
    </row>
    <row r="17" spans="2:10" x14ac:dyDescent="0.2">
      <c r="C17" s="182"/>
      <c r="D17" s="182"/>
      <c r="F17" s="182"/>
      <c r="G17" s="182"/>
      <c r="I17" s="182"/>
      <c r="J17" s="182"/>
    </row>
    <row r="18" spans="2:10" x14ac:dyDescent="0.2">
      <c r="B18" s="156" t="s">
        <v>5</v>
      </c>
      <c r="C18" s="182">
        <f>Model!AC158</f>
        <v>1817.3419155440811</v>
      </c>
      <c r="D18" s="182">
        <f>Model!AD158</f>
        <v>2245.412820093286</v>
      </c>
      <c r="F18" s="182">
        <v>1634</v>
      </c>
      <c r="G18" s="182">
        <v>1609.9999999999998</v>
      </c>
      <c r="I18" s="182">
        <f>C18-F18</f>
        <v>183.34191554408108</v>
      </c>
      <c r="J18" s="182">
        <f t="shared" ref="J18:J22" si="4">D18-G18</f>
        <v>635.4128200932862</v>
      </c>
    </row>
    <row r="19" spans="2:10" x14ac:dyDescent="0.2">
      <c r="B19" s="156" t="s">
        <v>6</v>
      </c>
      <c r="C19" s="182">
        <f>Model!AC160</f>
        <v>528</v>
      </c>
      <c r="D19" s="182">
        <f>Model!AD160</f>
        <v>587</v>
      </c>
      <c r="F19" s="182">
        <v>528</v>
      </c>
      <c r="G19" s="182">
        <v>587</v>
      </c>
      <c r="I19" s="182">
        <f t="shared" ref="I19:I22" si="5">C19-F19</f>
        <v>0</v>
      </c>
      <c r="J19" s="182">
        <f t="shared" si="4"/>
        <v>0</v>
      </c>
    </row>
    <row r="20" spans="2:10" x14ac:dyDescent="0.2">
      <c r="B20" s="156" t="s">
        <v>7</v>
      </c>
      <c r="C20" s="182">
        <f>Model!AC162</f>
        <v>209.333</v>
      </c>
      <c r="D20" s="182">
        <f>Model!AD162</f>
        <v>233</v>
      </c>
      <c r="F20" s="182">
        <v>209.333</v>
      </c>
      <c r="G20" s="182">
        <v>233</v>
      </c>
      <c r="I20" s="182">
        <f t="shared" si="5"/>
        <v>0</v>
      </c>
      <c r="J20" s="182">
        <f t="shared" si="4"/>
        <v>0</v>
      </c>
    </row>
    <row r="21" spans="2:10" x14ac:dyDescent="0.2">
      <c r="B21" s="156" t="s">
        <v>8</v>
      </c>
      <c r="C21" s="182">
        <f>Model!AC164</f>
        <v>328</v>
      </c>
      <c r="D21" s="182">
        <f>Model!AD164</f>
        <v>331.79421572438167</v>
      </c>
      <c r="F21" s="182">
        <v>328</v>
      </c>
      <c r="G21" s="182">
        <v>331.79421572438167</v>
      </c>
      <c r="I21" s="182">
        <f t="shared" si="5"/>
        <v>0</v>
      </c>
      <c r="J21" s="182">
        <f t="shared" si="4"/>
        <v>0</v>
      </c>
    </row>
    <row r="22" spans="2:10" ht="15" x14ac:dyDescent="0.25">
      <c r="B22" s="164" t="s">
        <v>507</v>
      </c>
      <c r="C22" s="241">
        <f>SUM(C18:C21)</f>
        <v>2882.6749155440812</v>
      </c>
      <c r="D22" s="241">
        <f>SUM(D18:D21)</f>
        <v>3397.2070358176675</v>
      </c>
      <c r="F22" s="241">
        <f>SUM(F18:F21)</f>
        <v>2699.3330000000001</v>
      </c>
      <c r="G22" s="241">
        <f>SUM(G18:G21)</f>
        <v>2761.7942157243815</v>
      </c>
      <c r="I22" s="241">
        <f t="shared" si="5"/>
        <v>183.34191554408108</v>
      </c>
      <c r="J22" s="241">
        <f t="shared" si="4"/>
        <v>635.41282009328597</v>
      </c>
    </row>
    <row r="24" spans="2:10" x14ac:dyDescent="0.2">
      <c r="B24" s="156" t="s">
        <v>5</v>
      </c>
      <c r="C24" s="248">
        <f>C18/C12</f>
        <v>0.35108527031846914</v>
      </c>
      <c r="D24" s="248">
        <f t="shared" ref="D24:D28" si="6">D18/D12</f>
        <v>0.37108527031846916</v>
      </c>
      <c r="F24" s="248">
        <f>F18/F12</f>
        <v>0.35108527031846914</v>
      </c>
      <c r="G24" s="248">
        <f t="shared" ref="G24:G28" si="7">G18/G12</f>
        <v>0.32490792593713735</v>
      </c>
      <c r="I24" s="404">
        <f>(C24-F24)*10000</f>
        <v>0</v>
      </c>
      <c r="J24" s="404">
        <f t="shared" ref="J24:J28" si="8">(D24-G24)*10000</f>
        <v>461.77344381331807</v>
      </c>
    </row>
    <row r="25" spans="2:10" x14ac:dyDescent="0.2">
      <c r="B25" s="156" t="s">
        <v>6</v>
      </c>
      <c r="C25" s="248">
        <f t="shared" ref="C25:D25" si="9">C19/C13</f>
        <v>0.27982998208664134</v>
      </c>
      <c r="D25" s="248">
        <f t="shared" si="6"/>
        <v>0.28980498642310543</v>
      </c>
      <c r="F25" s="248">
        <f t="shared" ref="F25:G25" si="10">F19/F13</f>
        <v>0.27982998208664134</v>
      </c>
      <c r="G25" s="248">
        <f t="shared" si="7"/>
        <v>0.28980498642310543</v>
      </c>
      <c r="I25" s="404">
        <f t="shared" ref="I25:I28" si="11">(C25-F25)*10000</f>
        <v>0</v>
      </c>
      <c r="J25" s="404">
        <f t="shared" si="8"/>
        <v>0</v>
      </c>
    </row>
    <row r="26" spans="2:10" x14ac:dyDescent="0.2">
      <c r="B26" s="156" t="s">
        <v>7</v>
      </c>
      <c r="C26" s="248">
        <f t="shared" ref="C26:D26" si="12">C20/C14</f>
        <v>0.16600555114988105</v>
      </c>
      <c r="D26" s="248">
        <f t="shared" si="6"/>
        <v>0.17336309523809523</v>
      </c>
      <c r="F26" s="248">
        <f t="shared" ref="F26:G26" si="13">F20/F14</f>
        <v>0.16600555114988105</v>
      </c>
      <c r="G26" s="248">
        <f t="shared" si="7"/>
        <v>0.17336309523809523</v>
      </c>
      <c r="I26" s="404">
        <f t="shared" si="11"/>
        <v>0</v>
      </c>
      <c r="J26" s="404">
        <f t="shared" si="8"/>
        <v>0</v>
      </c>
    </row>
    <row r="27" spans="2:10" x14ac:dyDescent="0.2">
      <c r="B27" s="156" t="s">
        <v>8</v>
      </c>
      <c r="C27" s="248">
        <f t="shared" ref="C27:D27" si="14">C21/C15</f>
        <v>0.28975265017667845</v>
      </c>
      <c r="D27" s="248">
        <f t="shared" si="6"/>
        <v>0.29475265017667845</v>
      </c>
      <c r="F27" s="248">
        <f t="shared" ref="F27:G27" si="15">F21/F15</f>
        <v>0.28975265017667845</v>
      </c>
      <c r="G27" s="248">
        <f t="shared" si="7"/>
        <v>0.29475265017667845</v>
      </c>
      <c r="I27" s="404">
        <f t="shared" si="11"/>
        <v>0</v>
      </c>
      <c r="J27" s="404">
        <f t="shared" si="8"/>
        <v>0</v>
      </c>
    </row>
    <row r="28" spans="2:10" ht="15" x14ac:dyDescent="0.25">
      <c r="B28" s="164" t="s">
        <v>509</v>
      </c>
      <c r="C28" s="403">
        <f t="shared" ref="C28:D28" si="16">C22/C16</f>
        <v>0.30484448418825183</v>
      </c>
      <c r="D28" s="403">
        <f t="shared" si="6"/>
        <v>0.32212907627156956</v>
      </c>
      <c r="F28" s="403">
        <f t="shared" ref="F28:G28" si="17">F22/F16</f>
        <v>0.30214159391090217</v>
      </c>
      <c r="G28" s="403">
        <f t="shared" si="7"/>
        <v>0.29224036770052353</v>
      </c>
      <c r="I28" s="405">
        <f t="shared" si="11"/>
        <v>27.028902773496565</v>
      </c>
      <c r="J28" s="405">
        <f t="shared" si="8"/>
        <v>298.88708571046033</v>
      </c>
    </row>
  </sheetData>
  <mergeCells count="3">
    <mergeCell ref="C3:D3"/>
    <mergeCell ref="F3:G3"/>
    <mergeCell ref="I3:J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3D321-A4A5-47BE-BCBD-6E4D1CD5A3DB}">
  <dimension ref="B3:AJ50"/>
  <sheetViews>
    <sheetView showGridLines="0" topLeftCell="A20" zoomScale="107" workbookViewId="0">
      <selection activeCell="F38" sqref="F38"/>
    </sheetView>
  </sheetViews>
  <sheetFormatPr defaultRowHeight="15" x14ac:dyDescent="0.25"/>
  <cols>
    <col min="2" max="2" width="49.42578125" bestFit="1" customWidth="1"/>
    <col min="3" max="5" width="10.140625" bestFit="1" customWidth="1"/>
    <col min="6" max="6" width="11.28515625" bestFit="1" customWidth="1"/>
    <col min="7" max="9" width="11.42578125" bestFit="1" customWidth="1"/>
    <col min="10" max="11" width="11.28515625" bestFit="1" customWidth="1"/>
    <col min="12" max="14" width="10.5703125" bestFit="1" customWidth="1"/>
    <col min="15" max="16" width="9.5703125" bestFit="1" customWidth="1"/>
    <col min="17" max="17" width="10.5703125" bestFit="1" customWidth="1"/>
    <col min="18" max="18" width="9.5703125" bestFit="1" customWidth="1"/>
    <col min="19" max="20" width="10.5703125" bestFit="1" customWidth="1"/>
    <col min="21" max="24" width="9.5703125" bestFit="1" customWidth="1"/>
    <col min="25" max="26" width="10.5703125" bestFit="1" customWidth="1"/>
    <col min="27" max="31" width="9.5703125" bestFit="1" customWidth="1"/>
    <col min="32" max="35" width="10.5703125" bestFit="1" customWidth="1"/>
    <col min="36" max="36" width="9.5703125" bestFit="1" customWidth="1"/>
  </cols>
  <sheetData>
    <row r="3" spans="2:36" x14ac:dyDescent="0.25">
      <c r="B3" s="284" t="s">
        <v>483</v>
      </c>
      <c r="C3" s="374"/>
      <c r="D3" s="374"/>
      <c r="E3" s="374"/>
      <c r="F3" s="374"/>
      <c r="G3" s="374"/>
      <c r="H3" s="374"/>
      <c r="I3" s="374"/>
      <c r="J3" s="374"/>
      <c r="K3" s="374"/>
      <c r="L3" s="374" t="s">
        <v>484</v>
      </c>
      <c r="M3" s="374"/>
      <c r="N3" s="374"/>
      <c r="O3" s="374"/>
      <c r="P3" s="374"/>
      <c r="Q3" s="374"/>
      <c r="R3" s="374"/>
      <c r="S3" s="374"/>
      <c r="T3" s="374"/>
      <c r="U3" s="374"/>
      <c r="V3" s="374"/>
      <c r="W3" s="374"/>
      <c r="X3" s="374"/>
      <c r="Y3" s="374"/>
      <c r="Z3" s="374"/>
      <c r="AA3" s="374"/>
      <c r="AB3" s="374"/>
      <c r="AC3" s="374"/>
      <c r="AD3" s="374"/>
      <c r="AE3" s="374"/>
      <c r="AF3" s="374"/>
      <c r="AG3" s="374"/>
      <c r="AH3" s="374"/>
      <c r="AI3" s="374"/>
      <c r="AJ3" s="374"/>
    </row>
    <row r="4" spans="2:36" x14ac:dyDescent="0.25">
      <c r="AG4" t="s">
        <v>493</v>
      </c>
      <c r="AH4" t="s">
        <v>493</v>
      </c>
      <c r="AI4" t="s">
        <v>493</v>
      </c>
      <c r="AJ4" t="s">
        <v>493</v>
      </c>
    </row>
    <row r="5" spans="2:36" x14ac:dyDescent="0.25">
      <c r="B5" s="373" t="s">
        <v>495</v>
      </c>
      <c r="C5" s="373">
        <v>1995</v>
      </c>
      <c r="D5" s="373">
        <v>1996</v>
      </c>
      <c r="E5" s="373">
        <v>1997</v>
      </c>
      <c r="F5" s="373">
        <v>1998</v>
      </c>
      <c r="G5" s="373">
        <v>1999</v>
      </c>
      <c r="H5" s="373">
        <f>G5+1</f>
        <v>2000</v>
      </c>
      <c r="I5" s="373">
        <f t="shared" ref="I5:AF5" si="0">H5+1</f>
        <v>2001</v>
      </c>
      <c r="J5" s="373">
        <f t="shared" si="0"/>
        <v>2002</v>
      </c>
      <c r="K5" s="373">
        <f t="shared" si="0"/>
        <v>2003</v>
      </c>
      <c r="L5" s="373">
        <f t="shared" si="0"/>
        <v>2004</v>
      </c>
      <c r="M5" s="373">
        <f t="shared" si="0"/>
        <v>2005</v>
      </c>
      <c r="N5" s="373">
        <f t="shared" si="0"/>
        <v>2006</v>
      </c>
      <c r="O5" s="373">
        <f t="shared" si="0"/>
        <v>2007</v>
      </c>
      <c r="P5" s="373">
        <f t="shared" si="0"/>
        <v>2008</v>
      </c>
      <c r="Q5" s="373">
        <f t="shared" si="0"/>
        <v>2009</v>
      </c>
      <c r="R5" s="373">
        <f t="shared" si="0"/>
        <v>2010</v>
      </c>
      <c r="S5" s="373">
        <f t="shared" si="0"/>
        <v>2011</v>
      </c>
      <c r="T5" s="373">
        <f t="shared" si="0"/>
        <v>2012</v>
      </c>
      <c r="U5" s="373">
        <f t="shared" si="0"/>
        <v>2013</v>
      </c>
      <c r="V5" s="373">
        <f t="shared" si="0"/>
        <v>2014</v>
      </c>
      <c r="W5" s="373">
        <f t="shared" si="0"/>
        <v>2015</v>
      </c>
      <c r="X5" s="373">
        <f t="shared" si="0"/>
        <v>2016</v>
      </c>
      <c r="Y5" s="373">
        <f t="shared" si="0"/>
        <v>2017</v>
      </c>
      <c r="Z5" s="373">
        <f t="shared" si="0"/>
        <v>2018</v>
      </c>
      <c r="AA5" s="373">
        <f t="shared" si="0"/>
        <v>2019</v>
      </c>
      <c r="AB5" s="373">
        <f t="shared" si="0"/>
        <v>2020</v>
      </c>
      <c r="AC5" s="373">
        <f t="shared" si="0"/>
        <v>2021</v>
      </c>
      <c r="AD5" s="373">
        <f t="shared" si="0"/>
        <v>2022</v>
      </c>
      <c r="AE5" s="373">
        <f t="shared" si="0"/>
        <v>2023</v>
      </c>
      <c r="AF5" s="373">
        <f t="shared" si="0"/>
        <v>2024</v>
      </c>
      <c r="AG5" s="373">
        <f>AF5+1</f>
        <v>2025</v>
      </c>
      <c r="AH5" s="373">
        <f>AG5+1</f>
        <v>2026</v>
      </c>
      <c r="AI5" s="373">
        <f>AH5+1</f>
        <v>2027</v>
      </c>
      <c r="AJ5" s="373">
        <f>AI5+1</f>
        <v>2028</v>
      </c>
    </row>
    <row r="6" spans="2:36" x14ac:dyDescent="0.25">
      <c r="B6" t="s">
        <v>494</v>
      </c>
      <c r="C6" s="226">
        <v>6829.3</v>
      </c>
      <c r="D6" s="226">
        <v>4272.6000000000004</v>
      </c>
      <c r="E6" s="226">
        <v>3844.7</v>
      </c>
      <c r="F6" s="226">
        <v>2065.6999999999998</v>
      </c>
      <c r="G6" s="226">
        <v>8855</v>
      </c>
      <c r="H6" s="226">
        <v>29639</v>
      </c>
      <c r="I6" s="226">
        <v>42377.2</v>
      </c>
      <c r="J6" s="226">
        <v>61157.599999999999</v>
      </c>
      <c r="K6" s="226">
        <v>53636.7</v>
      </c>
      <c r="L6" s="226">
        <v>24797.8</v>
      </c>
      <c r="M6" s="226">
        <v>16809.599999999999</v>
      </c>
      <c r="N6" s="226">
        <v>10070.6</v>
      </c>
      <c r="O6" s="226">
        <v>7701.5</v>
      </c>
      <c r="P6" s="226">
        <v>8613.4</v>
      </c>
      <c r="Q6" s="226">
        <v>10304.1</v>
      </c>
      <c r="R6" s="226">
        <v>6626.7</v>
      </c>
      <c r="S6" s="226">
        <v>10671.8</v>
      </c>
      <c r="T6" s="226">
        <v>10136</v>
      </c>
      <c r="U6" s="226">
        <v>7505.1</v>
      </c>
      <c r="V6" s="226">
        <v>8827.2999999999993</v>
      </c>
      <c r="W6" s="226">
        <v>6852.9</v>
      </c>
      <c r="X6" s="226">
        <v>8875.2999999999993</v>
      </c>
      <c r="Y6" s="226">
        <v>10311.4</v>
      </c>
      <c r="Z6" s="226">
        <v>21244</v>
      </c>
      <c r="AA6" s="226">
        <v>7676.1</v>
      </c>
      <c r="AB6" s="226">
        <v>6747.3</v>
      </c>
      <c r="AC6" s="226">
        <v>7135.7</v>
      </c>
      <c r="AD6" s="226">
        <v>6851.6</v>
      </c>
      <c r="AE6" s="226">
        <v>9529</v>
      </c>
      <c r="AF6" s="226">
        <v>61313.8</v>
      </c>
      <c r="AG6" s="226">
        <v>32677.4</v>
      </c>
      <c r="AH6" s="226">
        <v>26829</v>
      </c>
      <c r="AI6" s="226">
        <v>15125.4</v>
      </c>
      <c r="AJ6" s="226">
        <v>4821.7</v>
      </c>
    </row>
    <row r="7" spans="2:36" x14ac:dyDescent="0.25">
      <c r="D7" s="227">
        <f>IF(D6-C6&lt;0,0,D6-C6)</f>
        <v>0</v>
      </c>
      <c r="E7" s="227">
        <f t="shared" ref="E7:AJ7" si="1">IF(E6-D6&lt;0,0,E6-D6)</f>
        <v>0</v>
      </c>
      <c r="F7" s="227">
        <f t="shared" si="1"/>
        <v>0</v>
      </c>
      <c r="G7" s="227">
        <f t="shared" si="1"/>
        <v>6789.3</v>
      </c>
      <c r="H7" s="227">
        <f t="shared" si="1"/>
        <v>20784</v>
      </c>
      <c r="I7" s="227">
        <f t="shared" si="1"/>
        <v>12738.199999999997</v>
      </c>
      <c r="J7" s="227">
        <f t="shared" si="1"/>
        <v>18780.400000000001</v>
      </c>
      <c r="K7" s="227">
        <f t="shared" si="1"/>
        <v>0</v>
      </c>
      <c r="L7" s="227">
        <f t="shared" si="1"/>
        <v>0</v>
      </c>
      <c r="M7" s="227">
        <f t="shared" si="1"/>
        <v>0</v>
      </c>
      <c r="N7" s="227">
        <f t="shared" si="1"/>
        <v>0</v>
      </c>
      <c r="O7" s="227">
        <f t="shared" si="1"/>
        <v>0</v>
      </c>
      <c r="P7" s="227">
        <f t="shared" si="1"/>
        <v>911.89999999999964</v>
      </c>
      <c r="Q7" s="227">
        <f t="shared" si="1"/>
        <v>1690.7000000000007</v>
      </c>
      <c r="R7" s="227">
        <f t="shared" si="1"/>
        <v>0</v>
      </c>
      <c r="S7" s="227">
        <f t="shared" si="1"/>
        <v>4045.0999999999995</v>
      </c>
      <c r="T7" s="227">
        <f t="shared" si="1"/>
        <v>0</v>
      </c>
      <c r="U7" s="227">
        <f t="shared" si="1"/>
        <v>0</v>
      </c>
      <c r="V7" s="227">
        <f t="shared" si="1"/>
        <v>1322.1999999999989</v>
      </c>
      <c r="W7" s="227">
        <f t="shared" si="1"/>
        <v>0</v>
      </c>
      <c r="X7" s="227">
        <f t="shared" si="1"/>
        <v>2022.3999999999996</v>
      </c>
      <c r="Y7" s="227">
        <f t="shared" si="1"/>
        <v>1436.1000000000004</v>
      </c>
      <c r="Z7" s="227">
        <f t="shared" si="1"/>
        <v>10932.6</v>
      </c>
      <c r="AA7" s="227">
        <f t="shared" si="1"/>
        <v>0</v>
      </c>
      <c r="AB7" s="227">
        <f t="shared" si="1"/>
        <v>0</v>
      </c>
      <c r="AC7" s="227">
        <f t="shared" si="1"/>
        <v>388.39999999999964</v>
      </c>
      <c r="AD7" s="227">
        <f t="shared" si="1"/>
        <v>0</v>
      </c>
      <c r="AE7" s="227">
        <f t="shared" si="1"/>
        <v>2677.3999999999996</v>
      </c>
      <c r="AF7" s="227">
        <f t="shared" si="1"/>
        <v>51784.800000000003</v>
      </c>
      <c r="AG7" s="227">
        <f t="shared" si="1"/>
        <v>0</v>
      </c>
      <c r="AH7" s="227">
        <f t="shared" si="1"/>
        <v>0</v>
      </c>
      <c r="AI7" s="227">
        <f t="shared" si="1"/>
        <v>0</v>
      </c>
      <c r="AJ7" s="227">
        <f t="shared" si="1"/>
        <v>0</v>
      </c>
    </row>
    <row r="8" spans="2:36" x14ac:dyDescent="0.25">
      <c r="AF8" s="228">
        <f>AF6/AE6-1</f>
        <v>5.434442228985203</v>
      </c>
    </row>
    <row r="9" spans="2:36" x14ac:dyDescent="0.25">
      <c r="AF9" s="228"/>
    </row>
    <row r="10" spans="2:36" x14ac:dyDescent="0.25">
      <c r="AF10" s="228"/>
    </row>
    <row r="11" spans="2:36" x14ac:dyDescent="0.25">
      <c r="AF11" s="228"/>
    </row>
    <row r="12" spans="2:36" x14ac:dyDescent="0.25">
      <c r="AF12" s="228"/>
    </row>
    <row r="13" spans="2:36" x14ac:dyDescent="0.25">
      <c r="AF13" s="228"/>
    </row>
    <row r="14" spans="2:36" x14ac:dyDescent="0.25">
      <c r="AF14" s="228"/>
    </row>
    <row r="15" spans="2:36" x14ac:dyDescent="0.25">
      <c r="AF15" s="228"/>
    </row>
    <row r="16" spans="2:36" x14ac:dyDescent="0.25">
      <c r="AF16" s="228"/>
    </row>
    <row r="17" spans="2:36" x14ac:dyDescent="0.25">
      <c r="AF17" s="228"/>
    </row>
    <row r="18" spans="2:36" x14ac:dyDescent="0.25">
      <c r="AF18" s="228"/>
    </row>
    <row r="19" spans="2:36" x14ac:dyDescent="0.25">
      <c r="AF19" s="228"/>
    </row>
    <row r="20" spans="2:36" x14ac:dyDescent="0.25">
      <c r="AF20" s="228"/>
    </row>
    <row r="21" spans="2:36" x14ac:dyDescent="0.25">
      <c r="AF21" s="228"/>
    </row>
    <row r="22" spans="2:36" x14ac:dyDescent="0.25">
      <c r="AF22" s="228"/>
    </row>
    <row r="23" spans="2:36" x14ac:dyDescent="0.25">
      <c r="AF23" s="228"/>
    </row>
    <row r="24" spans="2:36" x14ac:dyDescent="0.25">
      <c r="AF24" s="228"/>
    </row>
    <row r="25" spans="2:36" x14ac:dyDescent="0.25">
      <c r="AF25" s="228"/>
    </row>
    <row r="26" spans="2:36" x14ac:dyDescent="0.25">
      <c r="B26" s="284" t="s">
        <v>496</v>
      </c>
      <c r="C26" s="374"/>
      <c r="D26" s="374"/>
      <c r="E26" s="374"/>
      <c r="F26" s="374"/>
      <c r="G26" s="374"/>
      <c r="H26" s="374"/>
      <c r="I26" s="374"/>
      <c r="J26" s="374"/>
      <c r="K26" s="374"/>
      <c r="L26" s="374"/>
      <c r="M26" s="374"/>
      <c r="N26" s="374"/>
      <c r="O26" s="374"/>
      <c r="P26" s="374"/>
      <c r="Q26" s="374"/>
      <c r="R26" s="374"/>
      <c r="S26" s="374"/>
      <c r="T26" s="374"/>
      <c r="U26" s="374"/>
      <c r="V26" s="374"/>
      <c r="W26" s="374"/>
      <c r="X26" s="374"/>
      <c r="Y26" s="374"/>
      <c r="Z26" s="374"/>
      <c r="AA26" s="374"/>
      <c r="AB26" s="374"/>
      <c r="AC26" s="374"/>
      <c r="AD26" s="374"/>
      <c r="AE26" s="374"/>
      <c r="AF26" s="374"/>
      <c r="AG26" s="374"/>
      <c r="AH26" s="374"/>
      <c r="AI26" s="374"/>
      <c r="AJ26" s="374"/>
    </row>
    <row r="27" spans="2:36" x14ac:dyDescent="0.25">
      <c r="M27" s="327" t="s">
        <v>498</v>
      </c>
      <c r="AF27" s="228"/>
    </row>
    <row r="28" spans="2:36" x14ac:dyDescent="0.25">
      <c r="B28" t="s">
        <v>485</v>
      </c>
      <c r="C28" s="372">
        <v>6.9619999999999997</v>
      </c>
      <c r="D28" s="372">
        <v>7.7039999999999997</v>
      </c>
      <c r="E28" s="372">
        <v>7.9859999999999998</v>
      </c>
      <c r="F28" s="372">
        <v>8.5</v>
      </c>
      <c r="G28" s="372">
        <v>10.099</v>
      </c>
      <c r="H28" s="372">
        <v>14.861000000000001</v>
      </c>
      <c r="I28" s="372">
        <v>20.210999999999999</v>
      </c>
      <c r="J28" s="372">
        <v>22.925999999999998</v>
      </c>
      <c r="K28" s="372">
        <v>18.462</v>
      </c>
      <c r="L28" s="228"/>
      <c r="M28" s="224">
        <f>RATE(4,,-F28,J28)</f>
        <v>0.28152576062217693</v>
      </c>
    </row>
    <row r="29" spans="2:36" x14ac:dyDescent="0.25">
      <c r="B29" s="264" t="s">
        <v>497</v>
      </c>
      <c r="C29" s="274"/>
      <c r="D29" s="375">
        <f>D28/C28-1</f>
        <v>0.10657856937661592</v>
      </c>
      <c r="E29" s="375">
        <f t="shared" ref="E29:K29" si="2">E28/D28-1</f>
        <v>3.6604361370716543E-2</v>
      </c>
      <c r="F29" s="375">
        <f t="shared" si="2"/>
        <v>6.436263461056857E-2</v>
      </c>
      <c r="G29" s="375">
        <f t="shared" si="2"/>
        <v>0.1881176470588235</v>
      </c>
      <c r="H29" s="375">
        <f t="shared" si="2"/>
        <v>0.47153183483513228</v>
      </c>
      <c r="I29" s="375">
        <f>I28/H28-1</f>
        <v>0.36000269160890896</v>
      </c>
      <c r="J29" s="375">
        <f t="shared" si="2"/>
        <v>0.13433278907525614</v>
      </c>
      <c r="K29" s="375">
        <f t="shared" si="2"/>
        <v>-0.19471342580476314</v>
      </c>
    </row>
    <row r="30" spans="2:36" x14ac:dyDescent="0.25">
      <c r="B30" t="s">
        <v>486</v>
      </c>
      <c r="I30">
        <v>264</v>
      </c>
      <c r="J30">
        <v>323</v>
      </c>
      <c r="K30">
        <v>175</v>
      </c>
      <c r="L30">
        <v>122</v>
      </c>
    </row>
    <row r="32" spans="2:36" x14ac:dyDescent="0.25">
      <c r="B32" t="s">
        <v>487</v>
      </c>
      <c r="I32" s="225">
        <f>I28/I30</f>
        <v>7.655681818181817E-2</v>
      </c>
      <c r="J32" s="225">
        <f t="shared" ref="J32:K32" si="3">J28/J30</f>
        <v>7.0978328173374614E-2</v>
      </c>
      <c r="K32" s="225">
        <f t="shared" si="3"/>
        <v>0.10549714285714286</v>
      </c>
    </row>
    <row r="34" spans="2:13" x14ac:dyDescent="0.25">
      <c r="B34" t="s">
        <v>488</v>
      </c>
      <c r="G34" s="226">
        <v>1.5369999999999999</v>
      </c>
      <c r="H34" s="226">
        <v>2.5230000000000001</v>
      </c>
      <c r="I34" s="226">
        <v>4.8600000000000003</v>
      </c>
      <c r="J34" s="226">
        <v>6.2549999999999999</v>
      </c>
      <c r="K34" s="226">
        <v>4.0759999999999996</v>
      </c>
    </row>
    <row r="35" spans="2:13" x14ac:dyDescent="0.25">
      <c r="H35" s="228"/>
      <c r="I35" s="228"/>
      <c r="J35" s="228"/>
      <c r="K35" s="228"/>
    </row>
    <row r="36" spans="2:13" x14ac:dyDescent="0.25">
      <c r="B36" t="s">
        <v>436</v>
      </c>
      <c r="G36" s="227">
        <f>G28-G34</f>
        <v>8.5620000000000012</v>
      </c>
      <c r="H36" s="227">
        <f t="shared" ref="H36:K36" si="4">H28-H34</f>
        <v>12.338000000000001</v>
      </c>
      <c r="I36" s="227">
        <f t="shared" si="4"/>
        <v>15.350999999999999</v>
      </c>
      <c r="J36" s="227">
        <f t="shared" si="4"/>
        <v>16.670999999999999</v>
      </c>
      <c r="K36" s="227">
        <f t="shared" si="4"/>
        <v>14.385999999999999</v>
      </c>
      <c r="M36" s="224"/>
    </row>
    <row r="37" spans="2:13" x14ac:dyDescent="0.25">
      <c r="B37" s="264" t="s">
        <v>497</v>
      </c>
      <c r="C37" s="274"/>
      <c r="D37" s="274"/>
      <c r="E37" s="274"/>
      <c r="F37" s="274"/>
      <c r="G37" s="274"/>
      <c r="H37" s="375">
        <f t="shared" ref="H37" si="5">H36/G36-1</f>
        <v>0.44101845363232872</v>
      </c>
      <c r="I37" s="375">
        <f>I36/H36-1</f>
        <v>0.24420489544496671</v>
      </c>
      <c r="J37" s="375">
        <f t="shared" ref="J37" si="6">J36/I36-1</f>
        <v>8.5987883525503239E-2</v>
      </c>
      <c r="K37" s="375">
        <f t="shared" ref="K37" si="7">K36/J36-1</f>
        <v>-0.13706436326555094</v>
      </c>
    </row>
    <row r="41" spans="2:13" x14ac:dyDescent="0.25">
      <c r="F41" s="226"/>
      <c r="G41" s="226"/>
      <c r="H41" s="226"/>
      <c r="I41" s="226"/>
      <c r="J41" s="226"/>
      <c r="K41" s="226"/>
    </row>
    <row r="42" spans="2:13" x14ac:dyDescent="0.25">
      <c r="G42" s="228"/>
      <c r="H42" s="228"/>
      <c r="I42" s="228"/>
      <c r="J42" s="228"/>
      <c r="K42" s="228"/>
    </row>
    <row r="49" spans="11:11" x14ac:dyDescent="0.25">
      <c r="K49" s="224"/>
    </row>
    <row r="50" spans="11:11" x14ac:dyDescent="0.25">
      <c r="K50" s="224"/>
    </row>
  </sheetData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54EF2-EB03-4334-A5A7-0CEC64110E02}">
  <sheetPr>
    <tabColor theme="1"/>
    <outlinePr summaryBelow="0" summaryRight="0"/>
  </sheetPr>
  <dimension ref="B2:AY142"/>
  <sheetViews>
    <sheetView showGridLines="0" zoomScale="121" zoomScaleNormal="85" workbookViewId="0">
      <pane xSplit="1" ySplit="5" topLeftCell="B76" activePane="bottomRight" state="frozen"/>
      <selection pane="topRight" activeCell="B1" sqref="B1"/>
      <selection pane="bottomLeft" activeCell="A6" sqref="A6"/>
      <selection pane="bottomRight" activeCell="T71" sqref="T71"/>
    </sheetView>
  </sheetViews>
  <sheetFormatPr defaultColWidth="9.140625" defaultRowHeight="15" customHeight="1" outlineLevelRow="1" x14ac:dyDescent="0.2"/>
  <cols>
    <col min="1" max="1" width="9.140625" style="350"/>
    <col min="2" max="2" width="28.7109375" style="350" bestFit="1" customWidth="1"/>
    <col min="3" max="3" width="9.140625" style="350" customWidth="1"/>
    <col min="4" max="4" width="7.7109375" style="350" customWidth="1"/>
    <col min="5" max="5" width="7.5703125" style="350" customWidth="1"/>
    <col min="6" max="6" width="7.85546875" style="350" customWidth="1"/>
    <col min="7" max="8" width="8.85546875" style="350" customWidth="1"/>
    <col min="9" max="9" width="8.7109375" style="350" customWidth="1"/>
    <col min="10" max="10" width="9" style="350" customWidth="1"/>
    <col min="11" max="11" width="8.85546875" style="350" customWidth="1"/>
    <col min="12" max="12" width="9.140625" style="350"/>
    <col min="13" max="15" width="8.5703125" style="350" bestFit="1" customWidth="1"/>
    <col min="16" max="17" width="7.7109375" style="350" customWidth="1"/>
    <col min="18" max="20" width="8.85546875" style="350" customWidth="1"/>
    <col min="21" max="21" width="9.5703125" style="350" bestFit="1" customWidth="1"/>
    <col min="22" max="22" width="10.7109375" style="350" bestFit="1" customWidth="1"/>
    <col min="23" max="29" width="9.140625" style="350"/>
    <col min="30" max="30" width="42" style="350" bestFit="1" customWidth="1"/>
    <col min="31" max="32" width="9.85546875" style="350" customWidth="1"/>
    <col min="33" max="33" width="0.5703125" style="350" customWidth="1"/>
    <col min="34" max="35" width="9.140625" style="350"/>
    <col min="36" max="36" width="0.5703125" style="350" customWidth="1"/>
    <col min="37" max="37" width="9.7109375" style="350" bestFit="1" customWidth="1"/>
    <col min="38" max="38" width="10.7109375" style="350" bestFit="1" customWidth="1"/>
    <col min="39" max="44" width="9.140625" style="350"/>
    <col min="45" max="45" width="34.28515625" style="350" bestFit="1" customWidth="1"/>
    <col min="46" max="47" width="9.140625" style="350"/>
    <col min="48" max="48" width="0.5703125" style="350" customWidth="1"/>
    <col min="49" max="50" width="9.140625" style="350"/>
    <col min="51" max="51" width="0.5703125" style="350" customWidth="1"/>
    <col min="52" max="16384" width="9.140625" style="350"/>
  </cols>
  <sheetData>
    <row r="2" spans="2:22" ht="15" customHeight="1" x14ac:dyDescent="0.2">
      <c r="B2" s="361" t="s">
        <v>479</v>
      </c>
      <c r="C2" s="361"/>
      <c r="D2" s="361"/>
      <c r="E2" s="361"/>
      <c r="F2" s="361"/>
      <c r="G2" s="361"/>
      <c r="H2" s="361"/>
      <c r="I2" s="361"/>
      <c r="J2" s="361"/>
      <c r="K2" s="361"/>
      <c r="L2" s="361"/>
      <c r="M2" s="361"/>
      <c r="N2" s="361"/>
      <c r="O2" s="361"/>
      <c r="P2" s="361"/>
      <c r="Q2" s="361"/>
      <c r="R2" s="361"/>
      <c r="S2" s="361"/>
      <c r="T2" s="361"/>
      <c r="U2" s="361"/>
      <c r="V2" s="361"/>
    </row>
    <row r="3" spans="2:22" ht="15" customHeight="1" x14ac:dyDescent="0.2">
      <c r="B3" s="349" t="s">
        <v>452</v>
      </c>
      <c r="C3" s="349"/>
      <c r="M3" s="349"/>
      <c r="N3" s="349"/>
      <c r="O3" s="349"/>
    </row>
    <row r="4" spans="2:22" ht="15" customHeight="1" x14ac:dyDescent="0.2">
      <c r="B4" s="350" t="s">
        <v>453</v>
      </c>
      <c r="C4" s="350" t="s">
        <v>249</v>
      </c>
      <c r="D4" s="350" t="s">
        <v>249</v>
      </c>
      <c r="E4" s="350" t="s">
        <v>249</v>
      </c>
      <c r="F4" s="350" t="s">
        <v>249</v>
      </c>
      <c r="G4" s="350" t="s">
        <v>454</v>
      </c>
      <c r="H4" s="350" t="s">
        <v>454</v>
      </c>
      <c r="I4" s="350" t="s">
        <v>454</v>
      </c>
      <c r="J4" s="350" t="s">
        <v>454</v>
      </c>
      <c r="K4" s="350" t="s">
        <v>454</v>
      </c>
      <c r="R4" s="350" t="s">
        <v>454</v>
      </c>
      <c r="S4" s="350" t="s">
        <v>454</v>
      </c>
      <c r="T4" s="350" t="s">
        <v>454</v>
      </c>
      <c r="U4" s="350" t="s">
        <v>454</v>
      </c>
      <c r="V4" s="350" t="s">
        <v>454</v>
      </c>
    </row>
    <row r="5" spans="2:22" ht="15" customHeight="1" x14ac:dyDescent="0.2">
      <c r="B5" s="351"/>
      <c r="C5" s="351" t="s">
        <v>467</v>
      </c>
      <c r="D5" s="351" t="s">
        <v>455</v>
      </c>
      <c r="E5" s="351" t="s">
        <v>456</v>
      </c>
      <c r="F5" s="351" t="s">
        <v>457</v>
      </c>
      <c r="G5" s="351" t="s">
        <v>458</v>
      </c>
      <c r="H5" s="351" t="s">
        <v>459</v>
      </c>
      <c r="I5" s="351" t="s">
        <v>460</v>
      </c>
      <c r="J5" s="351" t="s">
        <v>461</v>
      </c>
      <c r="K5" s="351" t="s">
        <v>462</v>
      </c>
      <c r="M5" s="351" t="s">
        <v>463</v>
      </c>
      <c r="N5" s="351" t="s">
        <v>464</v>
      </c>
      <c r="O5" s="351" t="s">
        <v>465</v>
      </c>
      <c r="P5" s="351" t="s">
        <v>466</v>
      </c>
      <c r="Q5" s="351" t="s">
        <v>467</v>
      </c>
      <c r="R5" s="351" t="s">
        <v>458</v>
      </c>
      <c r="S5" s="351" t="s">
        <v>462</v>
      </c>
      <c r="T5" s="351" t="s">
        <v>468</v>
      </c>
      <c r="U5" s="351" t="s">
        <v>475</v>
      </c>
      <c r="V5" s="351" t="s">
        <v>476</v>
      </c>
    </row>
    <row r="6" spans="2:22" ht="15" customHeight="1" x14ac:dyDescent="0.2">
      <c r="B6" s="351"/>
      <c r="C6" s="351" t="s">
        <v>472</v>
      </c>
      <c r="D6" s="351" t="s">
        <v>469</v>
      </c>
      <c r="E6" s="351" t="s">
        <v>470</v>
      </c>
      <c r="F6" s="351" t="s">
        <v>471</v>
      </c>
      <c r="G6" s="351" t="s">
        <v>472</v>
      </c>
      <c r="H6" s="351" t="s">
        <v>469</v>
      </c>
      <c r="I6" s="351" t="s">
        <v>470</v>
      </c>
      <c r="J6" s="351" t="s">
        <v>471</v>
      </c>
      <c r="K6" s="351" t="s">
        <v>472</v>
      </c>
      <c r="M6" s="351"/>
      <c r="N6" s="351"/>
      <c r="O6" s="351"/>
      <c r="P6" s="351"/>
      <c r="Q6" s="351"/>
      <c r="R6" s="351"/>
      <c r="S6" s="351"/>
      <c r="T6" s="351"/>
      <c r="U6" s="351"/>
      <c r="V6" s="351"/>
    </row>
    <row r="8" spans="2:22" ht="15" customHeight="1" x14ac:dyDescent="0.2">
      <c r="B8" s="352" t="s">
        <v>5</v>
      </c>
      <c r="C8" s="352"/>
      <c r="D8" s="358">
        <v>885</v>
      </c>
      <c r="E8" s="358">
        <v>933</v>
      </c>
      <c r="F8" s="358">
        <v>945</v>
      </c>
      <c r="G8" s="358">
        <v>962.49</v>
      </c>
      <c r="H8" s="358">
        <v>964.75</v>
      </c>
      <c r="I8" s="358">
        <v>1009.25</v>
      </c>
      <c r="J8" s="358">
        <v>1022.25</v>
      </c>
      <c r="K8" s="358">
        <v>1056.25</v>
      </c>
      <c r="M8" s="358"/>
      <c r="N8" s="358">
        <v>2406</v>
      </c>
      <c r="O8" s="358">
        <v>2282</v>
      </c>
      <c r="P8" s="358">
        <v>2698</v>
      </c>
      <c r="Q8" s="358">
        <v>3266</v>
      </c>
      <c r="R8" s="358">
        <f>SUM(D8:G8)</f>
        <v>3725.49</v>
      </c>
      <c r="S8" s="358">
        <f>SUM(H8:K8)</f>
        <v>4052.5</v>
      </c>
      <c r="T8" s="358">
        <v>4654.1400000000003</v>
      </c>
      <c r="U8" s="358">
        <v>4955.25</v>
      </c>
      <c r="V8" s="358">
        <v>5736</v>
      </c>
    </row>
    <row r="9" spans="2:22" ht="15" customHeight="1" x14ac:dyDescent="0.2">
      <c r="B9" s="352" t="s">
        <v>6</v>
      </c>
      <c r="C9" s="352"/>
      <c r="D9" s="358">
        <v>389</v>
      </c>
      <c r="E9" s="358">
        <v>394</v>
      </c>
      <c r="F9" s="358">
        <v>392</v>
      </c>
      <c r="G9" s="358">
        <v>391.44</v>
      </c>
      <c r="H9" s="358">
        <v>409.25</v>
      </c>
      <c r="I9" s="358">
        <v>417.25</v>
      </c>
      <c r="J9" s="358">
        <v>417.5</v>
      </c>
      <c r="K9" s="358">
        <v>430</v>
      </c>
      <c r="M9" s="358"/>
      <c r="N9" s="358">
        <v>1245</v>
      </c>
      <c r="O9" s="358">
        <v>1044</v>
      </c>
      <c r="P9" s="358">
        <v>1117</v>
      </c>
      <c r="Q9" s="358">
        <v>1349</v>
      </c>
      <c r="R9" s="358">
        <f t="shared" ref="R9:R11" si="0">SUM(D9:G9)</f>
        <v>1566.44</v>
      </c>
      <c r="S9" s="358">
        <f t="shared" ref="S9:S11" si="1">SUM(H9:K9)</f>
        <v>1674</v>
      </c>
      <c r="T9" s="358">
        <v>1886.86</v>
      </c>
      <c r="U9" s="358">
        <v>2025.5</v>
      </c>
      <c r="V9" s="358">
        <v>2221</v>
      </c>
    </row>
    <row r="10" spans="2:22" ht="15" customHeight="1" x14ac:dyDescent="0.2">
      <c r="B10" s="352" t="s">
        <v>7</v>
      </c>
      <c r="C10" s="352"/>
      <c r="D10" s="358">
        <v>262</v>
      </c>
      <c r="E10" s="358">
        <v>275</v>
      </c>
      <c r="F10" s="358">
        <v>253</v>
      </c>
      <c r="G10" s="358">
        <v>265.16000000000003</v>
      </c>
      <c r="H10" s="358">
        <v>270</v>
      </c>
      <c r="I10" s="358">
        <v>281.5</v>
      </c>
      <c r="J10" s="358">
        <v>277.5</v>
      </c>
      <c r="K10" s="358">
        <v>293.25</v>
      </c>
      <c r="M10" s="358"/>
      <c r="N10" s="358">
        <v>927</v>
      </c>
      <c r="O10" s="358">
        <v>725</v>
      </c>
      <c r="P10" s="358">
        <v>790</v>
      </c>
      <c r="Q10" s="358">
        <v>878</v>
      </c>
      <c r="R10" s="358">
        <f t="shared" si="0"/>
        <v>1055.1600000000001</v>
      </c>
      <c r="S10" s="358">
        <f t="shared" si="1"/>
        <v>1122.25</v>
      </c>
      <c r="T10" s="358">
        <v>1261</v>
      </c>
      <c r="U10" s="358">
        <v>1344</v>
      </c>
      <c r="V10" s="358">
        <v>1476</v>
      </c>
    </row>
    <row r="11" spans="2:22" ht="15" customHeight="1" x14ac:dyDescent="0.2">
      <c r="B11" s="352" t="s">
        <v>8</v>
      </c>
      <c r="C11" s="352"/>
      <c r="D11" s="358">
        <v>288</v>
      </c>
      <c r="E11" s="358">
        <v>278</v>
      </c>
      <c r="F11" s="358">
        <v>245</v>
      </c>
      <c r="G11" s="358">
        <v>246.744</v>
      </c>
      <c r="H11" s="358">
        <v>251</v>
      </c>
      <c r="I11" s="358">
        <v>252.333</v>
      </c>
      <c r="J11" s="358">
        <v>250</v>
      </c>
      <c r="K11" s="358">
        <v>272.66699999999997</v>
      </c>
      <c r="M11" s="358"/>
      <c r="N11" s="358">
        <v>679</v>
      </c>
      <c r="O11" s="358">
        <v>921</v>
      </c>
      <c r="P11" s="358">
        <v>1058</v>
      </c>
      <c r="Q11" s="358">
        <v>1147</v>
      </c>
      <c r="R11" s="358">
        <f t="shared" si="0"/>
        <v>1057.7439999999999</v>
      </c>
      <c r="S11" s="358">
        <f t="shared" si="1"/>
        <v>1026</v>
      </c>
      <c r="T11" s="358">
        <v>1132</v>
      </c>
      <c r="U11" s="358">
        <v>1125.67</v>
      </c>
      <c r="V11" s="358">
        <v>1178</v>
      </c>
    </row>
    <row r="12" spans="2:22" ht="15" customHeight="1" collapsed="1" x14ac:dyDescent="0.2">
      <c r="B12" s="398" t="s">
        <v>400</v>
      </c>
      <c r="C12" s="398"/>
      <c r="D12" s="397">
        <v>1824</v>
      </c>
      <c r="E12" s="397">
        <v>1880</v>
      </c>
      <c r="F12" s="397">
        <v>1835</v>
      </c>
      <c r="G12" s="397">
        <f t="shared" ref="G12:J12" si="2">SUM(G8:G11)</f>
        <v>1865.8340000000001</v>
      </c>
      <c r="H12" s="397">
        <f t="shared" si="2"/>
        <v>1895</v>
      </c>
      <c r="I12" s="397">
        <f t="shared" si="2"/>
        <v>1960.3330000000001</v>
      </c>
      <c r="J12" s="397">
        <f t="shared" si="2"/>
        <v>1967.25</v>
      </c>
      <c r="K12" s="397">
        <f>SUM(K8:K11)</f>
        <v>2052.1669999999999</v>
      </c>
      <c r="M12" s="397">
        <v>14192</v>
      </c>
      <c r="N12" s="397">
        <v>5259</v>
      </c>
      <c r="O12" s="397">
        <v>4972</v>
      </c>
      <c r="P12" s="397">
        <v>5663</v>
      </c>
      <c r="Q12" s="397">
        <v>6640</v>
      </c>
      <c r="R12" s="397">
        <v>7410.92</v>
      </c>
      <c r="S12" s="397">
        <f>SUM(S8:S11)</f>
        <v>7874.75</v>
      </c>
      <c r="T12" s="397">
        <f t="shared" ref="T12:V12" si="3">SUM(T8:T11)</f>
        <v>8934</v>
      </c>
      <c r="U12" s="397">
        <f t="shared" si="3"/>
        <v>9450.42</v>
      </c>
      <c r="V12" s="397">
        <f t="shared" si="3"/>
        <v>10611</v>
      </c>
    </row>
    <row r="13" spans="2:22" ht="15" hidden="1" customHeight="1" outlineLevel="1" x14ac:dyDescent="0.2">
      <c r="B13" s="359"/>
      <c r="C13" s="359"/>
      <c r="D13" s="360"/>
      <c r="E13" s="360"/>
      <c r="F13" s="360"/>
      <c r="G13" s="360"/>
      <c r="H13" s="360"/>
      <c r="I13" s="360"/>
      <c r="J13" s="360"/>
      <c r="K13" s="360"/>
      <c r="M13" s="360"/>
      <c r="N13" s="360"/>
      <c r="O13" s="360"/>
      <c r="P13" s="360"/>
      <c r="Q13" s="360"/>
      <c r="R13" s="360"/>
      <c r="S13" s="360"/>
      <c r="T13" s="360"/>
      <c r="U13" s="360"/>
      <c r="V13" s="360"/>
    </row>
    <row r="14" spans="2:22" ht="15" hidden="1" customHeight="1" outlineLevel="1" x14ac:dyDescent="0.2">
      <c r="B14" s="352" t="s">
        <v>5</v>
      </c>
      <c r="C14" s="352"/>
      <c r="D14" s="358">
        <v>216</v>
      </c>
      <c r="E14" s="358">
        <v>259</v>
      </c>
      <c r="F14" s="358">
        <v>272</v>
      </c>
      <c r="G14" s="358">
        <v>270.83300000000003</v>
      </c>
      <c r="H14" s="358">
        <v>267.33300000000003</v>
      </c>
      <c r="I14" s="358">
        <v>287.66699999999997</v>
      </c>
      <c r="J14" s="358">
        <v>294.33300000000003</v>
      </c>
      <c r="K14" s="358">
        <v>315</v>
      </c>
      <c r="M14" s="358"/>
      <c r="N14" s="358">
        <v>417</v>
      </c>
      <c r="O14" s="358">
        <v>440</v>
      </c>
      <c r="P14" s="358">
        <v>604</v>
      </c>
      <c r="Q14" s="358">
        <v>758</v>
      </c>
      <c r="R14" s="358">
        <v>1010</v>
      </c>
      <c r="S14" s="358">
        <v>1184.67</v>
      </c>
      <c r="T14" s="358">
        <v>1435</v>
      </c>
      <c r="U14" s="358">
        <v>1527</v>
      </c>
      <c r="V14" s="358">
        <v>2092</v>
      </c>
    </row>
    <row r="15" spans="2:22" ht="15" hidden="1" customHeight="1" outlineLevel="1" x14ac:dyDescent="0.2">
      <c r="B15" s="352" t="s">
        <v>6</v>
      </c>
      <c r="C15" s="352"/>
      <c r="D15" s="358">
        <v>81</v>
      </c>
      <c r="E15" s="358">
        <v>88</v>
      </c>
      <c r="F15" s="358">
        <v>89</v>
      </c>
      <c r="G15" s="358">
        <v>85.833299999999994</v>
      </c>
      <c r="H15" s="358">
        <v>87.666700000000006</v>
      </c>
      <c r="I15" s="358">
        <v>97.666700000000006</v>
      </c>
      <c r="J15" s="358">
        <v>95.666700000000006</v>
      </c>
      <c r="K15" s="358">
        <v>100.333</v>
      </c>
      <c r="M15" s="358"/>
      <c r="N15" s="358">
        <v>247</v>
      </c>
      <c r="O15" s="358">
        <v>190</v>
      </c>
      <c r="P15" s="358">
        <v>189</v>
      </c>
      <c r="Q15" s="358">
        <v>231.5</v>
      </c>
      <c r="R15" s="358">
        <v>341</v>
      </c>
      <c r="S15" s="358">
        <v>394.33300000000003</v>
      </c>
      <c r="T15" s="358">
        <v>465</v>
      </c>
      <c r="U15" s="358">
        <v>506.33300000000003</v>
      </c>
      <c r="V15" s="358">
        <v>638</v>
      </c>
    </row>
    <row r="16" spans="2:22" ht="15" hidden="1" customHeight="1" outlineLevel="1" x14ac:dyDescent="0.2">
      <c r="B16" s="352" t="s">
        <v>7</v>
      </c>
      <c r="C16" s="352"/>
      <c r="D16" s="358">
        <v>26</v>
      </c>
      <c r="E16" s="358">
        <v>29</v>
      </c>
      <c r="F16" s="358">
        <v>27</v>
      </c>
      <c r="G16" s="358">
        <v>28.333300000000001</v>
      </c>
      <c r="H16" s="358">
        <v>26.666699999999999</v>
      </c>
      <c r="I16" s="358">
        <v>29.666699999999999</v>
      </c>
      <c r="J16" s="358">
        <v>30.333300000000001</v>
      </c>
      <c r="K16" s="358">
        <v>36.333300000000001</v>
      </c>
      <c r="M16" s="358"/>
      <c r="N16" s="358">
        <v>73</v>
      </c>
      <c r="O16" s="358">
        <v>54</v>
      </c>
      <c r="P16" s="358">
        <v>63</v>
      </c>
      <c r="Q16" s="358">
        <v>55.5</v>
      </c>
      <c r="R16" s="358">
        <v>105.333</v>
      </c>
      <c r="S16" s="358">
        <v>127.167</v>
      </c>
      <c r="T16" s="358">
        <v>155.833</v>
      </c>
      <c r="U16" s="358">
        <v>175.667</v>
      </c>
      <c r="V16" s="358">
        <v>196</v>
      </c>
    </row>
    <row r="17" spans="2:51" ht="15" hidden="1" customHeight="1" outlineLevel="1" x14ac:dyDescent="0.2">
      <c r="B17" s="352" t="s">
        <v>8</v>
      </c>
      <c r="C17" s="352"/>
      <c r="D17" s="358">
        <v>72</v>
      </c>
      <c r="E17" s="358">
        <v>65</v>
      </c>
      <c r="F17" s="358">
        <v>53</v>
      </c>
      <c r="G17" s="358">
        <v>54.6</v>
      </c>
      <c r="H17" s="358">
        <v>54.5</v>
      </c>
      <c r="I17" s="358">
        <v>55.5</v>
      </c>
      <c r="J17" s="358">
        <v>55</v>
      </c>
      <c r="K17" s="358">
        <v>67.5</v>
      </c>
      <c r="M17" s="358"/>
      <c r="N17" s="358">
        <v>153</v>
      </c>
      <c r="O17" s="358">
        <v>255</v>
      </c>
      <c r="P17" s="358">
        <v>238</v>
      </c>
      <c r="Q17" s="358">
        <v>270</v>
      </c>
      <c r="R17" s="358">
        <v>246.4</v>
      </c>
      <c r="S17" s="358">
        <v>208.8</v>
      </c>
      <c r="T17" s="358">
        <v>240.4</v>
      </c>
      <c r="U17" s="358">
        <v>253.5</v>
      </c>
      <c r="V17" s="358">
        <v>268</v>
      </c>
    </row>
    <row r="18" spans="2:51" s="349" customFormat="1" ht="15" hidden="1" customHeight="1" outlineLevel="1" x14ac:dyDescent="0.2">
      <c r="B18" s="359" t="s">
        <v>477</v>
      </c>
      <c r="C18" s="359"/>
      <c r="D18" s="360">
        <v>369</v>
      </c>
      <c r="E18" s="360">
        <v>414</v>
      </c>
      <c r="F18" s="360">
        <v>421</v>
      </c>
      <c r="G18" s="360">
        <v>423.91699999999997</v>
      </c>
      <c r="H18" s="360">
        <v>415.28800000000001</v>
      </c>
      <c r="I18" s="360">
        <v>450.52</v>
      </c>
      <c r="J18" s="360">
        <v>468.06799999999998</v>
      </c>
      <c r="K18" s="360">
        <v>492.46899999999999</v>
      </c>
      <c r="M18" s="360">
        <v>1666.5</v>
      </c>
      <c r="N18" s="360">
        <v>809</v>
      </c>
      <c r="O18" s="360">
        <v>866</v>
      </c>
      <c r="P18" s="360">
        <v>1011</v>
      </c>
      <c r="Q18" s="360">
        <v>1211</v>
      </c>
      <c r="R18" s="360">
        <v>1619.62</v>
      </c>
      <c r="S18" s="360">
        <v>1831.41</v>
      </c>
      <c r="T18" s="360">
        <v>2126.3200000000002</v>
      </c>
      <c r="U18" s="360">
        <v>2377.67</v>
      </c>
      <c r="V18" s="360">
        <v>3094</v>
      </c>
      <c r="AG18" s="350"/>
      <c r="AJ18" s="350"/>
      <c r="AV18" s="350"/>
      <c r="AY18" s="350"/>
    </row>
    <row r="19" spans="2:51" ht="15" customHeight="1" x14ac:dyDescent="0.2">
      <c r="B19" s="352"/>
      <c r="C19" s="352"/>
      <c r="D19" s="358"/>
      <c r="E19" s="358"/>
      <c r="F19" s="358"/>
      <c r="G19" s="358"/>
      <c r="H19" s="358"/>
      <c r="I19" s="358"/>
      <c r="J19" s="358"/>
      <c r="K19" s="358"/>
      <c r="M19" s="358"/>
      <c r="N19" s="358"/>
      <c r="O19" s="358"/>
      <c r="P19" s="358"/>
      <c r="Q19" s="358"/>
      <c r="R19" s="358"/>
      <c r="S19" s="358"/>
      <c r="T19" s="358"/>
      <c r="U19" s="358"/>
      <c r="V19" s="358"/>
    </row>
    <row r="20" spans="2:51" ht="15" customHeight="1" x14ac:dyDescent="0.2">
      <c r="B20" s="352" t="s">
        <v>5</v>
      </c>
      <c r="C20" s="352"/>
      <c r="D20" s="358">
        <v>249</v>
      </c>
      <c r="E20" s="358">
        <v>292</v>
      </c>
      <c r="F20" s="358">
        <v>307</v>
      </c>
      <c r="G20" s="358">
        <v>310.33300000000003</v>
      </c>
      <c r="H20" s="358">
        <v>308</v>
      </c>
      <c r="I20" s="358">
        <v>328</v>
      </c>
      <c r="J20" s="358">
        <v>340.33300000000003</v>
      </c>
      <c r="K20" s="358">
        <v>364</v>
      </c>
      <c r="M20" s="358"/>
      <c r="N20" s="358"/>
      <c r="O20" s="358"/>
      <c r="P20" s="358">
        <v>729</v>
      </c>
      <c r="Q20" s="358">
        <v>887</v>
      </c>
      <c r="R20" s="358">
        <f t="shared" ref="R20:R25" si="4">SUM(D20:G20)</f>
        <v>1158.3330000000001</v>
      </c>
      <c r="S20" s="358">
        <f t="shared" ref="S20:S25" si="5">SUM(H20:K20)</f>
        <v>1340.3330000000001</v>
      </c>
      <c r="T20" s="358">
        <v>1634</v>
      </c>
      <c r="U20" s="358">
        <v>1610</v>
      </c>
      <c r="V20" s="358"/>
    </row>
    <row r="21" spans="2:51" ht="15" customHeight="1" x14ac:dyDescent="0.2">
      <c r="B21" s="352" t="s">
        <v>6</v>
      </c>
      <c r="C21" s="352"/>
      <c r="D21" s="358">
        <v>92</v>
      </c>
      <c r="E21" s="358">
        <v>101</v>
      </c>
      <c r="F21" s="358">
        <v>102</v>
      </c>
      <c r="G21" s="358">
        <v>100.75</v>
      </c>
      <c r="H21" s="358">
        <v>101</v>
      </c>
      <c r="I21" s="358">
        <v>110</v>
      </c>
      <c r="J21" s="358">
        <v>117.333</v>
      </c>
      <c r="K21" s="358">
        <v>124.333</v>
      </c>
      <c r="M21" s="358"/>
      <c r="N21" s="358"/>
      <c r="O21" s="358"/>
      <c r="P21" s="358">
        <v>234</v>
      </c>
      <c r="Q21" s="358">
        <v>278</v>
      </c>
      <c r="R21" s="358">
        <f t="shared" si="4"/>
        <v>395.75</v>
      </c>
      <c r="S21" s="358">
        <f t="shared" si="5"/>
        <v>452.66599999999994</v>
      </c>
      <c r="T21" s="358">
        <v>528</v>
      </c>
      <c r="U21" s="358">
        <v>587</v>
      </c>
      <c r="V21" s="358"/>
    </row>
    <row r="22" spans="2:51" ht="15" customHeight="1" x14ac:dyDescent="0.2">
      <c r="B22" s="352" t="s">
        <v>7</v>
      </c>
      <c r="C22" s="352"/>
      <c r="D22" s="358">
        <v>37</v>
      </c>
      <c r="E22" s="358">
        <v>40</v>
      </c>
      <c r="F22" s="358">
        <v>38</v>
      </c>
      <c r="G22" s="358">
        <v>40.7667</v>
      </c>
      <c r="H22" s="358">
        <v>40.333300000000001</v>
      </c>
      <c r="I22" s="358">
        <v>43.333300000000001</v>
      </c>
      <c r="J22" s="358">
        <v>44.666699999999999</v>
      </c>
      <c r="K22" s="358">
        <v>51.666699999999999</v>
      </c>
      <c r="M22" s="358"/>
      <c r="N22" s="358"/>
      <c r="O22" s="358"/>
      <c r="P22" s="358">
        <v>111</v>
      </c>
      <c r="Q22" s="358">
        <v>113</v>
      </c>
      <c r="R22" s="358">
        <f t="shared" si="4"/>
        <v>155.76670000000001</v>
      </c>
      <c r="S22" s="358">
        <f t="shared" si="5"/>
        <v>180</v>
      </c>
      <c r="T22" s="358">
        <v>209.333</v>
      </c>
      <c r="U22" s="358">
        <v>233</v>
      </c>
      <c r="V22" s="358"/>
    </row>
    <row r="23" spans="2:51" ht="15" customHeight="1" x14ac:dyDescent="0.2">
      <c r="B23" s="352" t="s">
        <v>8</v>
      </c>
      <c r="C23" s="352"/>
      <c r="D23" s="358">
        <v>82</v>
      </c>
      <c r="E23" s="358">
        <v>75</v>
      </c>
      <c r="F23" s="358">
        <v>64</v>
      </c>
      <c r="G23" s="358">
        <v>62.26</v>
      </c>
      <c r="H23" s="358">
        <v>60.5</v>
      </c>
      <c r="I23" s="358">
        <v>60.5</v>
      </c>
      <c r="J23" s="358">
        <v>64</v>
      </c>
      <c r="K23" s="358">
        <v>79</v>
      </c>
      <c r="M23" s="358"/>
      <c r="N23" s="358"/>
      <c r="O23" s="358"/>
      <c r="P23" s="358">
        <v>278</v>
      </c>
      <c r="Q23" s="358">
        <v>309</v>
      </c>
      <c r="R23" s="358">
        <f t="shared" si="4"/>
        <v>283.26</v>
      </c>
      <c r="S23" s="358">
        <f t="shared" si="5"/>
        <v>264</v>
      </c>
      <c r="T23" s="358">
        <v>328</v>
      </c>
      <c r="U23" s="358"/>
      <c r="V23" s="358"/>
    </row>
    <row r="24" spans="2:51" ht="15" customHeight="1" x14ac:dyDescent="0.2">
      <c r="B24" s="398" t="s">
        <v>403</v>
      </c>
      <c r="C24" s="399"/>
      <c r="D24" s="397">
        <f>SUM(D20:D23)</f>
        <v>460</v>
      </c>
      <c r="E24" s="397">
        <f t="shared" ref="E24:K24" si="6">SUM(E20:E23)</f>
        <v>508</v>
      </c>
      <c r="F24" s="397">
        <f t="shared" si="6"/>
        <v>511</v>
      </c>
      <c r="G24" s="397">
        <f t="shared" si="6"/>
        <v>514.10970000000009</v>
      </c>
      <c r="H24" s="397">
        <f t="shared" si="6"/>
        <v>509.83330000000001</v>
      </c>
      <c r="I24" s="397">
        <f t="shared" si="6"/>
        <v>541.83330000000001</v>
      </c>
      <c r="J24" s="397">
        <f t="shared" si="6"/>
        <v>566.33270000000005</v>
      </c>
      <c r="K24" s="397">
        <f t="shared" si="6"/>
        <v>618.99969999999996</v>
      </c>
      <c r="M24" s="397">
        <f t="shared" ref="M24" si="7">SUM(M20:M23)</f>
        <v>0</v>
      </c>
      <c r="N24" s="397">
        <f t="shared" ref="N24" si="8">SUM(N20:N23)</f>
        <v>0</v>
      </c>
      <c r="O24" s="397">
        <f t="shared" ref="O24" si="9">SUM(O20:O23)</f>
        <v>0</v>
      </c>
      <c r="P24" s="397">
        <f t="shared" ref="P24" si="10">SUM(P20:P23)</f>
        <v>1352</v>
      </c>
      <c r="Q24" s="397">
        <f t="shared" ref="Q24" si="11">SUM(Q20:Q23)</f>
        <v>1587</v>
      </c>
      <c r="R24" s="397">
        <f t="shared" ref="R24" si="12">SUM(R20:R23)</f>
        <v>1993.1097000000002</v>
      </c>
      <c r="S24" s="397">
        <f t="shared" ref="S24" si="13">SUM(S20:S23)</f>
        <v>2236.9989999999998</v>
      </c>
      <c r="T24" s="397">
        <f t="shared" ref="T24" si="14">SUM(T20:T23)</f>
        <v>2699.3330000000001</v>
      </c>
      <c r="U24" s="397">
        <f t="shared" ref="U24" si="15">SUM(U20:U23)</f>
        <v>2430</v>
      </c>
      <c r="V24" s="397">
        <f t="shared" ref="V24" si="16">SUM(V20:V23)</f>
        <v>0</v>
      </c>
    </row>
    <row r="25" spans="2:51" ht="15" customHeight="1" x14ac:dyDescent="0.2">
      <c r="B25" s="352" t="s">
        <v>478</v>
      </c>
      <c r="C25" s="352"/>
      <c r="D25" s="358">
        <f>D26-SUM(D20:D23)</f>
        <v>-23</v>
      </c>
      <c r="E25" s="358">
        <f t="shared" ref="E25:K25" si="17">E26-SUM(E20:E23)</f>
        <v>-25</v>
      </c>
      <c r="F25" s="358">
        <f t="shared" si="17"/>
        <v>-23</v>
      </c>
      <c r="G25" s="358">
        <f t="shared" si="17"/>
        <v>-21.254700000000071</v>
      </c>
      <c r="H25" s="358">
        <f t="shared" si="17"/>
        <v>-23.387299999999982</v>
      </c>
      <c r="I25" s="358">
        <f t="shared" si="17"/>
        <v>-21.559300000000007</v>
      </c>
      <c r="J25" s="358">
        <f t="shared" si="17"/>
        <v>-28.887699999999995</v>
      </c>
      <c r="K25" s="358">
        <f t="shared" si="17"/>
        <v>-52.829700000000003</v>
      </c>
      <c r="M25" s="358"/>
      <c r="N25" s="358"/>
      <c r="O25" s="358"/>
      <c r="P25" s="358">
        <f t="shared" ref="P25" si="18">P26-SUM(P20:P23)</f>
        <v>0</v>
      </c>
      <c r="Q25" s="358">
        <f t="shared" ref="Q25" si="19">Q26-SUM(Q20:Q23)</f>
        <v>-79</v>
      </c>
      <c r="R25" s="358">
        <f t="shared" si="4"/>
        <v>-92.254700000000071</v>
      </c>
      <c r="S25" s="358">
        <f t="shared" si="5"/>
        <v>-126.66399999999999</v>
      </c>
      <c r="T25" s="358">
        <f t="shared" ref="T25" si="20">T26-SUM(T20:T23)</f>
        <v>-261.26299999999992</v>
      </c>
      <c r="U25" s="358">
        <f t="shared" ref="U25" si="21">U26-SUM(U20:U23)</f>
        <v>385</v>
      </c>
      <c r="V25" s="358"/>
    </row>
    <row r="26" spans="2:51" ht="15" customHeight="1" x14ac:dyDescent="0.2">
      <c r="B26" s="359" t="s">
        <v>312</v>
      </c>
      <c r="C26" s="359"/>
      <c r="D26" s="360">
        <v>437</v>
      </c>
      <c r="E26" s="360">
        <v>483</v>
      </c>
      <c r="F26" s="360">
        <v>488</v>
      </c>
      <c r="G26" s="360">
        <v>492.85500000000002</v>
      </c>
      <c r="H26" s="360">
        <v>486.44600000000003</v>
      </c>
      <c r="I26" s="360">
        <v>520.274</v>
      </c>
      <c r="J26" s="360">
        <v>537.44500000000005</v>
      </c>
      <c r="K26" s="360">
        <v>566.16999999999996</v>
      </c>
      <c r="L26" s="349"/>
      <c r="M26" s="360">
        <v>2251</v>
      </c>
      <c r="N26" s="360">
        <v>1088</v>
      </c>
      <c r="O26" s="360">
        <v>1135</v>
      </c>
      <c r="P26" s="360">
        <v>1352</v>
      </c>
      <c r="Q26" s="360">
        <v>1508</v>
      </c>
      <c r="R26" s="360">
        <v>1906.46</v>
      </c>
      <c r="S26" s="360">
        <v>2127.16</v>
      </c>
      <c r="T26" s="360">
        <v>2438.0700000000002</v>
      </c>
      <c r="U26" s="360">
        <v>2815</v>
      </c>
      <c r="V26" s="360">
        <v>3521</v>
      </c>
    </row>
    <row r="28" spans="2:51" ht="15" customHeight="1" x14ac:dyDescent="0.2">
      <c r="B28" s="366" t="s">
        <v>473</v>
      </c>
      <c r="C28" s="366"/>
      <c r="D28" s="366"/>
      <c r="E28" s="366"/>
      <c r="F28" s="366"/>
      <c r="G28" s="366"/>
      <c r="H28" s="366"/>
      <c r="I28" s="366"/>
      <c r="J28" s="366"/>
      <c r="K28" s="366"/>
      <c r="L28" s="366"/>
      <c r="M28" s="366"/>
      <c r="N28" s="366"/>
      <c r="O28" s="366"/>
      <c r="P28" s="366"/>
      <c r="Q28" s="366"/>
      <c r="R28" s="366"/>
      <c r="S28" s="366"/>
      <c r="T28" s="366"/>
      <c r="U28" s="366"/>
      <c r="V28" s="366"/>
    </row>
    <row r="29" spans="2:51" ht="15" customHeight="1" x14ac:dyDescent="0.2">
      <c r="B29" s="352" t="s">
        <v>5</v>
      </c>
      <c r="C29" s="352"/>
      <c r="D29" s="354">
        <f t="shared" ref="D29:K32" si="22">D20/D8</f>
        <v>0.28135593220338984</v>
      </c>
      <c r="E29" s="354">
        <f t="shared" si="22"/>
        <v>0.31296891747052519</v>
      </c>
      <c r="F29" s="354">
        <f t="shared" si="22"/>
        <v>0.32486772486772486</v>
      </c>
      <c r="G29" s="354">
        <f t="shared" si="22"/>
        <v>0.32242724599736106</v>
      </c>
      <c r="H29" s="354">
        <f t="shared" si="22"/>
        <v>0.31925369266649389</v>
      </c>
      <c r="I29" s="354">
        <f t="shared" si="22"/>
        <v>0.32499380728263561</v>
      </c>
      <c r="J29" s="354">
        <f t="shared" si="22"/>
        <v>0.33292540963560774</v>
      </c>
      <c r="K29" s="354">
        <f t="shared" si="22"/>
        <v>0.3446153846153846</v>
      </c>
      <c r="M29" s="354" t="e">
        <f t="shared" ref="M29:V29" si="23">M20/M8</f>
        <v>#DIV/0!</v>
      </c>
      <c r="N29" s="354">
        <f t="shared" si="23"/>
        <v>0</v>
      </c>
      <c r="O29" s="354">
        <f t="shared" si="23"/>
        <v>0</v>
      </c>
      <c r="P29" s="354">
        <f t="shared" si="23"/>
        <v>0.27020014825796884</v>
      </c>
      <c r="Q29" s="354">
        <f t="shared" si="23"/>
        <v>0.27158603796693204</v>
      </c>
      <c r="R29" s="354">
        <f t="shared" si="23"/>
        <v>0.31092097952215686</v>
      </c>
      <c r="S29" s="354">
        <f t="shared" si="23"/>
        <v>0.33074225786551514</v>
      </c>
      <c r="T29" s="354">
        <f t="shared" si="23"/>
        <v>0.35108527031846914</v>
      </c>
      <c r="U29" s="354">
        <f t="shared" si="23"/>
        <v>0.32490792593713735</v>
      </c>
      <c r="V29" s="354">
        <f t="shared" si="23"/>
        <v>0</v>
      </c>
    </row>
    <row r="30" spans="2:51" ht="15" customHeight="1" x14ac:dyDescent="0.2">
      <c r="B30" s="353" t="s">
        <v>6</v>
      </c>
      <c r="C30" s="353"/>
      <c r="D30" s="355">
        <f t="shared" si="22"/>
        <v>0.23650385604113111</v>
      </c>
      <c r="E30" s="355">
        <f t="shared" si="22"/>
        <v>0.25634517766497461</v>
      </c>
      <c r="F30" s="355">
        <f t="shared" si="22"/>
        <v>0.26020408163265307</v>
      </c>
      <c r="G30" s="355">
        <f t="shared" si="22"/>
        <v>0.25738299611690169</v>
      </c>
      <c r="H30" s="355">
        <f t="shared" si="22"/>
        <v>0.24679291386682956</v>
      </c>
      <c r="I30" s="355">
        <f t="shared" si="22"/>
        <v>0.26363091671659677</v>
      </c>
      <c r="J30" s="355">
        <f t="shared" si="22"/>
        <v>0.28103712574850298</v>
      </c>
      <c r="K30" s="355">
        <f t="shared" si="22"/>
        <v>0.289146511627907</v>
      </c>
      <c r="M30" s="355" t="e">
        <f t="shared" ref="M30:V30" si="24">M21/M9</f>
        <v>#DIV/0!</v>
      </c>
      <c r="N30" s="355">
        <f t="shared" si="24"/>
        <v>0</v>
      </c>
      <c r="O30" s="355">
        <f t="shared" si="24"/>
        <v>0</v>
      </c>
      <c r="P30" s="355">
        <f t="shared" si="24"/>
        <v>0.20948970456580127</v>
      </c>
      <c r="Q30" s="355">
        <f t="shared" si="24"/>
        <v>0.20607857672349889</v>
      </c>
      <c r="R30" s="355">
        <f t="shared" si="24"/>
        <v>0.25264293557365747</v>
      </c>
      <c r="S30" s="355">
        <f t="shared" si="24"/>
        <v>0.27040979689366784</v>
      </c>
      <c r="T30" s="355">
        <f t="shared" si="24"/>
        <v>0.27982998208664134</v>
      </c>
      <c r="U30" s="355">
        <f t="shared" si="24"/>
        <v>0.28980498642310543</v>
      </c>
      <c r="V30" s="355">
        <f t="shared" si="24"/>
        <v>0</v>
      </c>
    </row>
    <row r="31" spans="2:51" ht="15" customHeight="1" x14ac:dyDescent="0.2">
      <c r="B31" s="352" t="s">
        <v>7</v>
      </c>
      <c r="C31" s="352"/>
      <c r="D31" s="354">
        <f t="shared" si="22"/>
        <v>0.14122137404580154</v>
      </c>
      <c r="E31" s="354">
        <f t="shared" si="22"/>
        <v>0.14545454545454545</v>
      </c>
      <c r="F31" s="354">
        <f t="shared" si="22"/>
        <v>0.15019762845849802</v>
      </c>
      <c r="G31" s="354">
        <f t="shared" si="22"/>
        <v>0.15374377734198219</v>
      </c>
      <c r="H31" s="354">
        <f t="shared" si="22"/>
        <v>0.14938259259259259</v>
      </c>
      <c r="I31" s="354">
        <f t="shared" si="22"/>
        <v>0.15393712255772646</v>
      </c>
      <c r="J31" s="354">
        <f t="shared" si="22"/>
        <v>0.16096108108108106</v>
      </c>
      <c r="K31" s="354">
        <f t="shared" si="22"/>
        <v>0.17618653026427963</v>
      </c>
      <c r="M31" s="354" t="e">
        <f t="shared" ref="M31:V31" si="25">M22/M10</f>
        <v>#DIV/0!</v>
      </c>
      <c r="N31" s="354">
        <f t="shared" si="25"/>
        <v>0</v>
      </c>
      <c r="O31" s="354">
        <f t="shared" si="25"/>
        <v>0</v>
      </c>
      <c r="P31" s="354">
        <f t="shared" si="25"/>
        <v>0.14050632911392405</v>
      </c>
      <c r="Q31" s="354">
        <f t="shared" si="25"/>
        <v>0.12870159453302962</v>
      </c>
      <c r="R31" s="354">
        <f t="shared" si="25"/>
        <v>0.14762377269797947</v>
      </c>
      <c r="S31" s="354">
        <f t="shared" si="25"/>
        <v>0.16039206950323012</v>
      </c>
      <c r="T31" s="354">
        <f t="shared" si="25"/>
        <v>0.16600555114988105</v>
      </c>
      <c r="U31" s="354">
        <f t="shared" si="25"/>
        <v>0.17336309523809523</v>
      </c>
      <c r="V31" s="354">
        <f t="shared" si="25"/>
        <v>0</v>
      </c>
    </row>
    <row r="32" spans="2:51" ht="15" customHeight="1" x14ac:dyDescent="0.2">
      <c r="B32" s="353" t="s">
        <v>8</v>
      </c>
      <c r="C32" s="353"/>
      <c r="D32" s="355">
        <f t="shared" si="22"/>
        <v>0.28472222222222221</v>
      </c>
      <c r="E32" s="355">
        <f t="shared" si="22"/>
        <v>0.26978417266187049</v>
      </c>
      <c r="F32" s="355">
        <f t="shared" si="22"/>
        <v>0.26122448979591839</v>
      </c>
      <c r="G32" s="355">
        <f t="shared" si="22"/>
        <v>0.25232629770126119</v>
      </c>
      <c r="H32" s="355">
        <f t="shared" si="22"/>
        <v>0.24103585657370519</v>
      </c>
      <c r="I32" s="355">
        <f t="shared" si="22"/>
        <v>0.23976253601391811</v>
      </c>
      <c r="J32" s="355">
        <f t="shared" si="22"/>
        <v>0.25600000000000001</v>
      </c>
      <c r="K32" s="355">
        <f t="shared" si="22"/>
        <v>0.28973069715073702</v>
      </c>
      <c r="M32" s="355" t="e">
        <f t="shared" ref="M32:V32" si="26">M23/M11</f>
        <v>#DIV/0!</v>
      </c>
      <c r="N32" s="355">
        <f t="shared" si="26"/>
        <v>0</v>
      </c>
      <c r="O32" s="355">
        <f t="shared" si="26"/>
        <v>0</v>
      </c>
      <c r="P32" s="355">
        <f t="shared" si="26"/>
        <v>0.26275992438563328</v>
      </c>
      <c r="Q32" s="355">
        <f t="shared" si="26"/>
        <v>0.26939843068875324</v>
      </c>
      <c r="R32" s="355">
        <f t="shared" si="26"/>
        <v>0.26779636660666478</v>
      </c>
      <c r="S32" s="355">
        <f t="shared" si="26"/>
        <v>0.25730994152046782</v>
      </c>
      <c r="T32" s="355">
        <f t="shared" si="26"/>
        <v>0.28975265017667845</v>
      </c>
      <c r="U32" s="355">
        <f t="shared" si="26"/>
        <v>0</v>
      </c>
      <c r="V32" s="355">
        <f t="shared" si="26"/>
        <v>0</v>
      </c>
    </row>
    <row r="33" spans="2:22" ht="15" customHeight="1" x14ac:dyDescent="0.2">
      <c r="B33" s="359" t="s">
        <v>312</v>
      </c>
      <c r="C33" s="359"/>
      <c r="D33" s="367">
        <f>D26/D12</f>
        <v>0.23958333333333334</v>
      </c>
      <c r="E33" s="367">
        <f t="shared" ref="E33:V33" si="27">E26/E12</f>
        <v>0.2569148936170213</v>
      </c>
      <c r="F33" s="367">
        <f t="shared" si="27"/>
        <v>0.26594005449591279</v>
      </c>
      <c r="G33" s="367">
        <f t="shared" si="27"/>
        <v>0.26414729284598737</v>
      </c>
      <c r="H33" s="367">
        <f t="shared" si="27"/>
        <v>0.25669973614775726</v>
      </c>
      <c r="I33" s="367">
        <f t="shared" si="27"/>
        <v>0.26540082730842157</v>
      </c>
      <c r="J33" s="367">
        <f t="shared" si="27"/>
        <v>0.27319608590672262</v>
      </c>
      <c r="K33" s="367">
        <f t="shared" si="27"/>
        <v>0.27588885310016192</v>
      </c>
      <c r="M33" s="367">
        <f t="shared" si="27"/>
        <v>0.15861048478015782</v>
      </c>
      <c r="N33" s="367">
        <f t="shared" si="27"/>
        <v>0.20688343791595359</v>
      </c>
      <c r="O33" s="367">
        <f t="shared" si="27"/>
        <v>0.22827835880933225</v>
      </c>
      <c r="P33" s="367">
        <f t="shared" si="27"/>
        <v>0.23874271587497792</v>
      </c>
      <c r="Q33" s="367">
        <f t="shared" si="27"/>
        <v>0.22710843373493975</v>
      </c>
      <c r="R33" s="367">
        <f t="shared" si="27"/>
        <v>0.25725011199689107</v>
      </c>
      <c r="S33" s="367">
        <f t="shared" si="27"/>
        <v>0.27012413092479126</v>
      </c>
      <c r="T33" s="367">
        <f t="shared" si="27"/>
        <v>0.27289791806581598</v>
      </c>
      <c r="U33" s="367">
        <f t="shared" si="27"/>
        <v>0.29787035920096672</v>
      </c>
      <c r="V33" s="367">
        <f t="shared" si="27"/>
        <v>0.33182546414098579</v>
      </c>
    </row>
    <row r="35" spans="2:22" ht="15" customHeight="1" x14ac:dyDescent="0.2">
      <c r="B35" s="361" t="s">
        <v>480</v>
      </c>
      <c r="C35" s="361"/>
      <c r="D35" s="361"/>
      <c r="E35" s="361"/>
      <c r="F35" s="361"/>
      <c r="G35" s="361"/>
      <c r="H35" s="361"/>
      <c r="I35" s="361"/>
      <c r="J35" s="361"/>
      <c r="K35" s="361"/>
      <c r="L35" s="361"/>
      <c r="M35" s="361"/>
      <c r="N35" s="361"/>
      <c r="O35" s="361"/>
      <c r="P35" s="361"/>
      <c r="Q35" s="361"/>
      <c r="R35" s="361"/>
      <c r="S35" s="361"/>
      <c r="T35" s="361"/>
      <c r="U35" s="361"/>
      <c r="V35" s="361"/>
    </row>
    <row r="38" spans="2:22" ht="15" customHeight="1" x14ac:dyDescent="0.2">
      <c r="B38" s="352" t="s">
        <v>5</v>
      </c>
      <c r="C38" s="352"/>
      <c r="D38" s="290">
        <f>Model!O151</f>
        <v>885</v>
      </c>
      <c r="E38" s="290">
        <f>Model!P151</f>
        <v>933</v>
      </c>
      <c r="F38" s="290">
        <f>Model!Q151</f>
        <v>945</v>
      </c>
      <c r="G38" s="290">
        <f>Model!R151</f>
        <v>998.88123809523813</v>
      </c>
      <c r="H38" s="290">
        <f>Model!S151</f>
        <v>998.11031746031745</v>
      </c>
      <c r="I38" s="290">
        <f>Model!T151</f>
        <v>1038.4063492063492</v>
      </c>
      <c r="J38" s="290">
        <f>Model!U151</f>
        <v>1059.6023809523808</v>
      </c>
      <c r="K38" s="290">
        <f>Model!V151</f>
        <v>1136.2400793650795</v>
      </c>
      <c r="O38" s="290">
        <f>Model!X151</f>
        <v>2282</v>
      </c>
      <c r="P38" s="290">
        <f>Model!Y151</f>
        <v>2698</v>
      </c>
      <c r="Q38" s="290">
        <f>Model!Z151</f>
        <v>3266</v>
      </c>
      <c r="R38" s="290">
        <f>Model!AA151</f>
        <v>3761.8812380952381</v>
      </c>
      <c r="S38" s="290">
        <f>Model!AB151</f>
        <v>4232.3591269841272</v>
      </c>
      <c r="T38" s="290">
        <f>Model!AC151</f>
        <v>5176.3547752817194</v>
      </c>
      <c r="U38" s="290">
        <f>Model!AD151</f>
        <v>6050.9349189911254</v>
      </c>
      <c r="V38" s="290">
        <f>Model!AE151</f>
        <v>7252.6806218419188</v>
      </c>
    </row>
    <row r="39" spans="2:22" ht="15" customHeight="1" x14ac:dyDescent="0.2">
      <c r="B39" s="352" t="s">
        <v>6</v>
      </c>
      <c r="C39" s="352"/>
      <c r="D39" s="290">
        <f>Model!O152</f>
        <v>389</v>
      </c>
      <c r="E39" s="290">
        <f>Model!P152</f>
        <v>394</v>
      </c>
      <c r="F39" s="290">
        <f>Model!Q152</f>
        <v>392</v>
      </c>
      <c r="G39" s="290">
        <f>Model!R152</f>
        <v>391.43999999999994</v>
      </c>
      <c r="H39" s="290">
        <f>Model!S152</f>
        <v>409.25</v>
      </c>
      <c r="I39" s="290">
        <f>Model!T152</f>
        <v>417.25</v>
      </c>
      <c r="J39" s="290">
        <f>Model!U152</f>
        <v>417.5</v>
      </c>
      <c r="K39" s="290">
        <f>Model!V152</f>
        <v>430</v>
      </c>
      <c r="O39" s="290">
        <f>Model!X152</f>
        <v>1044</v>
      </c>
      <c r="P39" s="290">
        <f>Model!Y152</f>
        <v>1117</v>
      </c>
      <c r="Q39" s="290">
        <f>Model!Z152</f>
        <v>1349</v>
      </c>
      <c r="R39" s="290">
        <f>Model!AA152</f>
        <v>1566.44</v>
      </c>
      <c r="S39" s="290">
        <f>Model!AB152</f>
        <v>1674</v>
      </c>
      <c r="T39" s="290">
        <f>Model!AC152</f>
        <v>1886.8599999999997</v>
      </c>
      <c r="U39" s="290">
        <f>Model!AD152</f>
        <v>2025.4999999999998</v>
      </c>
      <c r="V39" s="290">
        <f>Model!AE152</f>
        <v>2221</v>
      </c>
    </row>
    <row r="40" spans="2:22" ht="15" customHeight="1" x14ac:dyDescent="0.2">
      <c r="B40" s="352" t="s">
        <v>7</v>
      </c>
      <c r="C40" s="352"/>
      <c r="D40" s="290">
        <f>Model!O153</f>
        <v>262</v>
      </c>
      <c r="E40" s="290">
        <f>Model!P153</f>
        <v>275</v>
      </c>
      <c r="F40" s="290">
        <f>Model!Q153</f>
        <v>253</v>
      </c>
      <c r="G40" s="290">
        <f>Model!R153</f>
        <v>265.16000000000003</v>
      </c>
      <c r="H40" s="290">
        <f>Model!S153</f>
        <v>270</v>
      </c>
      <c r="I40" s="290">
        <f>Model!T153</f>
        <v>281.50000000000006</v>
      </c>
      <c r="J40" s="290">
        <f>Model!U153</f>
        <v>277.50000000000006</v>
      </c>
      <c r="K40" s="290">
        <f>Model!V153</f>
        <v>293.24999999999994</v>
      </c>
      <c r="O40" s="290">
        <f>Model!X153</f>
        <v>725</v>
      </c>
      <c r="P40" s="290">
        <f>Model!Y153</f>
        <v>790</v>
      </c>
      <c r="Q40" s="290">
        <f>Model!Z153</f>
        <v>878</v>
      </c>
      <c r="R40" s="290">
        <f>Model!AA153</f>
        <v>1055.1600000000001</v>
      </c>
      <c r="S40" s="290">
        <f>Model!AB153</f>
        <v>1122.25</v>
      </c>
      <c r="T40" s="290">
        <f>Model!AC153</f>
        <v>1261</v>
      </c>
      <c r="U40" s="290">
        <f>Model!AD153</f>
        <v>1344</v>
      </c>
      <c r="V40" s="290">
        <f>Model!AE153</f>
        <v>1476</v>
      </c>
    </row>
    <row r="41" spans="2:22" ht="15" customHeight="1" x14ac:dyDescent="0.2">
      <c r="B41" s="352" t="s">
        <v>8</v>
      </c>
      <c r="C41" s="352"/>
      <c r="D41" s="290">
        <f>Model!O154</f>
        <v>288</v>
      </c>
      <c r="E41" s="290">
        <f>Model!P154</f>
        <v>278</v>
      </c>
      <c r="F41" s="290">
        <f>Model!Q154</f>
        <v>245</v>
      </c>
      <c r="G41" s="290">
        <f>Model!R154</f>
        <v>246.744</v>
      </c>
      <c r="H41" s="290">
        <f>Model!S154</f>
        <v>251</v>
      </c>
      <c r="I41" s="290">
        <f>Model!T154</f>
        <v>252.333</v>
      </c>
      <c r="J41" s="290">
        <f>Model!U154</f>
        <v>250</v>
      </c>
      <c r="K41" s="290">
        <f>Model!V154</f>
        <v>272.66699999999997</v>
      </c>
      <c r="O41" s="290">
        <f>Model!X154</f>
        <v>921</v>
      </c>
      <c r="P41" s="290">
        <f>Model!Y154</f>
        <v>1058</v>
      </c>
      <c r="Q41" s="290">
        <f>Model!Z154</f>
        <v>1147</v>
      </c>
      <c r="R41" s="290">
        <f>Model!AA154</f>
        <v>1057.7439999999999</v>
      </c>
      <c r="S41" s="290">
        <f>Model!AB154</f>
        <v>1026</v>
      </c>
      <c r="T41" s="290">
        <f>Model!AC154</f>
        <v>1132</v>
      </c>
      <c r="U41" s="290">
        <f>Model!AD154</f>
        <v>1125.67</v>
      </c>
      <c r="V41" s="290">
        <f>Model!AE154</f>
        <v>1178</v>
      </c>
    </row>
    <row r="42" spans="2:22" ht="15" customHeight="1" x14ac:dyDescent="0.2">
      <c r="B42" s="359" t="s">
        <v>400</v>
      </c>
      <c r="C42" s="359"/>
      <c r="D42" s="365">
        <f>SUM(D38:D41)</f>
        <v>1824</v>
      </c>
      <c r="E42" s="365">
        <f t="shared" ref="E42:K42" si="28">SUM(E38:E41)</f>
        <v>1880</v>
      </c>
      <c r="F42" s="365">
        <f t="shared" si="28"/>
        <v>1835</v>
      </c>
      <c r="G42" s="365">
        <f t="shared" si="28"/>
        <v>1902.2252380952382</v>
      </c>
      <c r="H42" s="365">
        <f t="shared" si="28"/>
        <v>1928.3603174603174</v>
      </c>
      <c r="I42" s="365">
        <f t="shared" si="28"/>
        <v>1989.4893492063493</v>
      </c>
      <c r="J42" s="365">
        <f t="shared" si="28"/>
        <v>2004.6023809523808</v>
      </c>
      <c r="K42" s="365">
        <f t="shared" si="28"/>
        <v>2132.1570793650794</v>
      </c>
      <c r="O42" s="365">
        <f>SUM(O38:O41)</f>
        <v>4972</v>
      </c>
      <c r="P42" s="365">
        <f t="shared" ref="P42:V42" si="29">SUM(P38:P41)</f>
        <v>5663</v>
      </c>
      <c r="Q42" s="365">
        <f t="shared" si="29"/>
        <v>6640</v>
      </c>
      <c r="R42" s="365">
        <f t="shared" si="29"/>
        <v>7441.2252380952377</v>
      </c>
      <c r="S42" s="365">
        <f t="shared" si="29"/>
        <v>8054.6091269841272</v>
      </c>
      <c r="T42" s="365">
        <f t="shared" si="29"/>
        <v>9456.2147752817182</v>
      </c>
      <c r="U42" s="365">
        <f t="shared" si="29"/>
        <v>10546.104918991126</v>
      </c>
      <c r="V42" s="365">
        <f t="shared" si="29"/>
        <v>12127.680621841919</v>
      </c>
    </row>
    <row r="44" spans="2:22" ht="15" customHeight="1" x14ac:dyDescent="0.2">
      <c r="B44" s="352" t="s">
        <v>5</v>
      </c>
      <c r="C44" s="352"/>
      <c r="D44" s="290">
        <f>Model!O158</f>
        <v>249</v>
      </c>
      <c r="E44" s="290">
        <f>Model!P158</f>
        <v>292</v>
      </c>
      <c r="F44" s="290">
        <f>Model!Q158</f>
        <v>307</v>
      </c>
      <c r="G44" s="290">
        <f>Model!R158</f>
        <v>322.06652667748193</v>
      </c>
      <c r="H44" s="290">
        <f>Model!S158</f>
        <v>318.65040453773287</v>
      </c>
      <c r="I44" s="290">
        <f>Model!T158</f>
        <v>337.47563293503345</v>
      </c>
      <c r="J44" s="290">
        <f>Model!U158</f>
        <v>352.76855672943668</v>
      </c>
      <c r="K44" s="290">
        <f>Model!V158</f>
        <v>391.56581196581197</v>
      </c>
      <c r="O44" s="290">
        <f>Model!X158</f>
        <v>564</v>
      </c>
      <c r="P44" s="290">
        <f>Model!Y158</f>
        <v>729</v>
      </c>
      <c r="Q44" s="290">
        <f>Model!Z158</f>
        <v>887</v>
      </c>
      <c r="R44" s="290">
        <f>Model!AA158</f>
        <v>1170.066526677482</v>
      </c>
      <c r="S44" s="290">
        <f>Model!AB158</f>
        <v>1400.460406168015</v>
      </c>
      <c r="T44" s="290">
        <f>Model!AC158</f>
        <v>1817.3419155440811</v>
      </c>
      <c r="U44" s="290">
        <f>Model!AD158</f>
        <v>2245.412820093286</v>
      </c>
      <c r="V44" s="290">
        <f>Model!AE158</f>
        <v>2836.4165615265701</v>
      </c>
    </row>
    <row r="45" spans="2:22" ht="15" customHeight="1" x14ac:dyDescent="0.2">
      <c r="B45" s="352" t="s">
        <v>6</v>
      </c>
      <c r="C45" s="352"/>
      <c r="D45" s="290">
        <f>Model!O160</f>
        <v>92</v>
      </c>
      <c r="E45" s="290">
        <f>Model!P160</f>
        <v>101</v>
      </c>
      <c r="F45" s="290">
        <f>Model!Q160</f>
        <v>102</v>
      </c>
      <c r="G45" s="290">
        <f>Model!R160</f>
        <v>100.74999999999999</v>
      </c>
      <c r="H45" s="290">
        <f>Model!S160</f>
        <v>101</v>
      </c>
      <c r="I45" s="290">
        <f>Model!T160</f>
        <v>110</v>
      </c>
      <c r="J45" s="290">
        <f>Model!U160</f>
        <v>117.333</v>
      </c>
      <c r="K45" s="290">
        <f>Model!V160</f>
        <v>124.33300000000001</v>
      </c>
      <c r="O45" s="290">
        <f>Model!X160</f>
        <v>239</v>
      </c>
      <c r="P45" s="290">
        <f>Model!Y160</f>
        <v>234</v>
      </c>
      <c r="Q45" s="290">
        <f>Model!Z160</f>
        <v>278</v>
      </c>
      <c r="R45" s="290">
        <f>Model!AA160</f>
        <v>395.75</v>
      </c>
      <c r="S45" s="290">
        <f>Model!AB160</f>
        <v>452.666</v>
      </c>
      <c r="T45" s="290">
        <f>Model!AC160</f>
        <v>528</v>
      </c>
      <c r="U45" s="290">
        <f>Model!AD160</f>
        <v>587</v>
      </c>
      <c r="V45" s="290">
        <f>Model!AE160</f>
        <v>654.76187484571722</v>
      </c>
    </row>
    <row r="46" spans="2:22" ht="15" customHeight="1" x14ac:dyDescent="0.2">
      <c r="B46" s="352" t="s">
        <v>7</v>
      </c>
      <c r="C46" s="352"/>
      <c r="D46" s="290">
        <f>Model!O162</f>
        <v>37</v>
      </c>
      <c r="E46" s="290">
        <f>Model!P162</f>
        <v>40</v>
      </c>
      <c r="F46" s="290">
        <f>Model!Q162</f>
        <v>38</v>
      </c>
      <c r="G46" s="290">
        <f>Model!R162</f>
        <v>40.7667</v>
      </c>
      <c r="H46" s="290">
        <f>Model!S162</f>
        <v>40.333300000000001</v>
      </c>
      <c r="I46" s="290">
        <f>Model!T162</f>
        <v>43.333300000000008</v>
      </c>
      <c r="J46" s="290">
        <f>Model!U162</f>
        <v>44.666700000000006</v>
      </c>
      <c r="K46" s="290">
        <f>Model!V162</f>
        <v>51.666699999999992</v>
      </c>
      <c r="O46" s="290">
        <f>Model!X162</f>
        <v>103</v>
      </c>
      <c r="P46" s="290">
        <f>Model!Y162</f>
        <v>111</v>
      </c>
      <c r="Q46" s="290">
        <f>Model!Z162</f>
        <v>113</v>
      </c>
      <c r="R46" s="290">
        <f>Model!AA162</f>
        <v>155.76670000000001</v>
      </c>
      <c r="S46" s="290">
        <f>Model!AB162</f>
        <v>180</v>
      </c>
      <c r="T46" s="290">
        <f>Model!AC162</f>
        <v>209.333</v>
      </c>
      <c r="U46" s="290">
        <f>Model!AD162</f>
        <v>233</v>
      </c>
      <c r="V46" s="290">
        <f>Model!AE162</f>
        <v>263.26392857142855</v>
      </c>
    </row>
    <row r="47" spans="2:22" ht="15" customHeight="1" x14ac:dyDescent="0.2">
      <c r="B47" s="352" t="s">
        <v>8</v>
      </c>
      <c r="C47" s="352"/>
      <c r="D47" s="290">
        <f>Model!O164</f>
        <v>82</v>
      </c>
      <c r="E47" s="290">
        <f>Model!P164</f>
        <v>75</v>
      </c>
      <c r="F47" s="290">
        <f>Model!Q164</f>
        <v>64</v>
      </c>
      <c r="G47" s="290">
        <f>Model!R164</f>
        <v>62.259999999999991</v>
      </c>
      <c r="H47" s="290">
        <f>Model!S164</f>
        <v>60.5</v>
      </c>
      <c r="I47" s="290">
        <f>Model!T164</f>
        <v>60.5</v>
      </c>
      <c r="J47" s="290">
        <f>Model!U164</f>
        <v>64</v>
      </c>
      <c r="K47" s="290">
        <f>Model!V164</f>
        <v>79</v>
      </c>
      <c r="O47" s="290">
        <f>Model!X164</f>
        <v>294</v>
      </c>
      <c r="P47" s="290">
        <f>Model!Y164</f>
        <v>278</v>
      </c>
      <c r="Q47" s="290">
        <f>Model!Z164</f>
        <v>309</v>
      </c>
      <c r="R47" s="290">
        <f>Model!AA164</f>
        <v>283.26</v>
      </c>
      <c r="S47" s="290">
        <f>Model!AB164</f>
        <v>264</v>
      </c>
      <c r="T47" s="290">
        <f>Model!AC164</f>
        <v>328</v>
      </c>
      <c r="U47" s="290">
        <f>Model!AD164</f>
        <v>331.79421572438167</v>
      </c>
      <c r="V47" s="290">
        <f>Model!AE164</f>
        <v>353.10862190812725</v>
      </c>
    </row>
    <row r="48" spans="2:22" ht="15" customHeight="1" x14ac:dyDescent="0.2">
      <c r="B48" s="350" t="s">
        <v>502</v>
      </c>
      <c r="D48" s="362">
        <f>Model!O166</f>
        <v>460</v>
      </c>
      <c r="E48" s="362">
        <f>Model!P166</f>
        <v>508</v>
      </c>
      <c r="F48" s="362">
        <f>Model!Q166</f>
        <v>511</v>
      </c>
      <c r="G48" s="362">
        <f>Model!R166</f>
        <v>525.84322667748188</v>
      </c>
      <c r="H48" s="362">
        <f>Model!S166</f>
        <v>520.48370453773282</v>
      </c>
      <c r="I48" s="362">
        <f>Model!T166</f>
        <v>551.30893293503345</v>
      </c>
      <c r="J48" s="362">
        <f>Model!U166</f>
        <v>578.76825672943664</v>
      </c>
      <c r="K48" s="362">
        <f>Model!V166</f>
        <v>646.56551196581199</v>
      </c>
      <c r="O48" s="362">
        <f>Model!X166</f>
        <v>1200</v>
      </c>
      <c r="P48" s="362">
        <f>Model!Y166</f>
        <v>1352</v>
      </c>
      <c r="Q48" s="362">
        <f>Model!Z166</f>
        <v>1587</v>
      </c>
      <c r="R48" s="362">
        <f>Model!AA166</f>
        <v>2004.8432266774819</v>
      </c>
      <c r="S48" s="362">
        <f>Model!AB166</f>
        <v>2297.1264061680149</v>
      </c>
      <c r="T48" s="362">
        <f>Model!AC166</f>
        <v>2882.6749155440812</v>
      </c>
      <c r="U48" s="362">
        <f>Model!AD166</f>
        <v>3397.2070358176675</v>
      </c>
      <c r="V48" s="362">
        <f>Model!AE166</f>
        <v>4107.5509868518429</v>
      </c>
    </row>
    <row r="49" spans="2:22" ht="15" customHeight="1" x14ac:dyDescent="0.2">
      <c r="B49" s="359" t="s">
        <v>312</v>
      </c>
      <c r="C49" s="359"/>
      <c r="D49" s="362">
        <f>Model!O171</f>
        <v>437</v>
      </c>
      <c r="E49" s="362">
        <f>Model!P171</f>
        <v>483</v>
      </c>
      <c r="F49" s="362">
        <f>Model!Q171</f>
        <v>487</v>
      </c>
      <c r="G49" s="362">
        <f>Model!R171</f>
        <v>500.96398650620898</v>
      </c>
      <c r="H49" s="362">
        <f>Model!S171</f>
        <v>495.26264316495485</v>
      </c>
      <c r="I49" s="362">
        <f>Model!T171</f>
        <v>525.28836379010022</v>
      </c>
      <c r="J49" s="362">
        <f>Model!U171</f>
        <v>552.55002395403767</v>
      </c>
      <c r="K49" s="362">
        <f>Model!V171</f>
        <v>618.6789888569499</v>
      </c>
      <c r="O49" s="290">
        <f>Model!X171</f>
        <v>1135</v>
      </c>
      <c r="P49" s="290">
        <f>Model!Y171</f>
        <v>1271</v>
      </c>
      <c r="Q49" s="290">
        <f>Model!Z171</f>
        <v>1508</v>
      </c>
      <c r="R49" s="290">
        <f>Model!AA171</f>
        <v>1907.963986506209</v>
      </c>
      <c r="S49" s="290">
        <f>Model!AB171</f>
        <v>2191.7800197660426</v>
      </c>
      <c r="T49" s="290">
        <f>Model!AC171</f>
        <v>2758.9969021344018</v>
      </c>
      <c r="U49" s="290">
        <f>Model!AD171</f>
        <v>3259.2743284303174</v>
      </c>
      <c r="V49" s="290">
        <f>Model!AE171</f>
        <v>3948.9328206806135</v>
      </c>
    </row>
    <row r="51" spans="2:22" ht="15" customHeight="1" x14ac:dyDescent="0.2">
      <c r="B51" s="366" t="s">
        <v>473</v>
      </c>
      <c r="C51" s="366"/>
      <c r="D51" s="366"/>
      <c r="E51" s="366"/>
      <c r="F51" s="366"/>
      <c r="G51" s="366"/>
      <c r="H51" s="366"/>
      <c r="I51" s="366"/>
      <c r="J51" s="366"/>
      <c r="K51" s="366"/>
      <c r="L51" s="366"/>
      <c r="M51" s="366"/>
      <c r="N51" s="366"/>
      <c r="O51" s="366"/>
      <c r="P51" s="366"/>
      <c r="Q51" s="366"/>
      <c r="R51" s="366"/>
      <c r="S51" s="366"/>
      <c r="T51" s="366"/>
      <c r="U51" s="366"/>
      <c r="V51" s="366"/>
    </row>
    <row r="52" spans="2:22" ht="15" customHeight="1" x14ac:dyDescent="0.2">
      <c r="B52" s="352" t="s">
        <v>5</v>
      </c>
      <c r="C52" s="352"/>
      <c r="D52" s="354">
        <f>D44/D38</f>
        <v>0.28135593220338984</v>
      </c>
      <c r="E52" s="354">
        <f t="shared" ref="E52:K52" si="30">E44/E38</f>
        <v>0.31296891747052519</v>
      </c>
      <c r="F52" s="354">
        <f t="shared" si="30"/>
        <v>0.32486772486772486</v>
      </c>
      <c r="G52" s="354">
        <f t="shared" si="30"/>
        <v>0.32242724599736106</v>
      </c>
      <c r="H52" s="354">
        <f t="shared" si="30"/>
        <v>0.31925369266649395</v>
      </c>
      <c r="I52" s="354">
        <f t="shared" si="30"/>
        <v>0.32499380728263561</v>
      </c>
      <c r="J52" s="354">
        <f t="shared" si="30"/>
        <v>0.33292540963560774</v>
      </c>
      <c r="K52" s="354">
        <f t="shared" si="30"/>
        <v>0.3446153846153846</v>
      </c>
      <c r="M52" s="354"/>
      <c r="N52" s="354"/>
      <c r="O52" s="354">
        <f>O44/O38</f>
        <v>0.24715162138475022</v>
      </c>
      <c r="P52" s="354">
        <f t="shared" ref="P52:V52" si="31">P44/P38</f>
        <v>0.27020014825796884</v>
      </c>
      <c r="Q52" s="354">
        <f t="shared" si="31"/>
        <v>0.27158603796693204</v>
      </c>
      <c r="R52" s="354">
        <f t="shared" si="31"/>
        <v>0.31103228747059658</v>
      </c>
      <c r="S52" s="354">
        <f t="shared" si="31"/>
        <v>0.33089356648379409</v>
      </c>
      <c r="T52" s="354">
        <f t="shared" si="31"/>
        <v>0.35108527031846914</v>
      </c>
      <c r="U52" s="354">
        <f t="shared" si="31"/>
        <v>0.37108527031846916</v>
      </c>
      <c r="V52" s="354">
        <f t="shared" si="31"/>
        <v>0.39108527031846918</v>
      </c>
    </row>
    <row r="53" spans="2:22" ht="15" customHeight="1" x14ac:dyDescent="0.2">
      <c r="B53" s="353" t="s">
        <v>6</v>
      </c>
      <c r="C53" s="353"/>
      <c r="D53" s="355">
        <f t="shared" ref="D53:K53" si="32">D45/D39</f>
        <v>0.23650385604113111</v>
      </c>
      <c r="E53" s="355">
        <f t="shared" si="32"/>
        <v>0.25634517766497461</v>
      </c>
      <c r="F53" s="355">
        <f t="shared" si="32"/>
        <v>0.26020408163265307</v>
      </c>
      <c r="G53" s="355">
        <f t="shared" si="32"/>
        <v>0.25738299611690169</v>
      </c>
      <c r="H53" s="355">
        <f t="shared" si="32"/>
        <v>0.24679291386682956</v>
      </c>
      <c r="I53" s="355">
        <f t="shared" si="32"/>
        <v>0.26363091671659677</v>
      </c>
      <c r="J53" s="355">
        <f t="shared" si="32"/>
        <v>0.28103712574850298</v>
      </c>
      <c r="K53" s="355">
        <f t="shared" si="32"/>
        <v>0.289146511627907</v>
      </c>
      <c r="M53" s="355"/>
      <c r="N53" s="355"/>
      <c r="O53" s="355">
        <f t="shared" ref="O53:V53" si="33">O45/O39</f>
        <v>0.22892720306513409</v>
      </c>
      <c r="P53" s="355">
        <f t="shared" si="33"/>
        <v>0.20948970456580127</v>
      </c>
      <c r="Q53" s="355">
        <f t="shared" si="33"/>
        <v>0.20607857672349889</v>
      </c>
      <c r="R53" s="355">
        <f t="shared" si="33"/>
        <v>0.25264293557365747</v>
      </c>
      <c r="S53" s="355">
        <f t="shared" si="33"/>
        <v>0.27040979689366784</v>
      </c>
      <c r="T53" s="355">
        <f t="shared" si="33"/>
        <v>0.27982998208664134</v>
      </c>
      <c r="U53" s="355">
        <f t="shared" si="33"/>
        <v>0.28980498642310543</v>
      </c>
      <c r="V53" s="355">
        <f t="shared" si="33"/>
        <v>0.29480498642310543</v>
      </c>
    </row>
    <row r="54" spans="2:22" ht="15" customHeight="1" x14ac:dyDescent="0.2">
      <c r="B54" s="352" t="s">
        <v>7</v>
      </c>
      <c r="C54" s="352"/>
      <c r="D54" s="354">
        <f t="shared" ref="D54:K54" si="34">D46/D40</f>
        <v>0.14122137404580154</v>
      </c>
      <c r="E54" s="354">
        <f t="shared" si="34"/>
        <v>0.14545454545454545</v>
      </c>
      <c r="F54" s="354">
        <f t="shared" si="34"/>
        <v>0.15019762845849802</v>
      </c>
      <c r="G54" s="354">
        <f t="shared" si="34"/>
        <v>0.15374377734198219</v>
      </c>
      <c r="H54" s="354">
        <f t="shared" si="34"/>
        <v>0.14938259259259259</v>
      </c>
      <c r="I54" s="354">
        <f t="shared" si="34"/>
        <v>0.15393712255772646</v>
      </c>
      <c r="J54" s="354">
        <f t="shared" si="34"/>
        <v>0.16096108108108106</v>
      </c>
      <c r="K54" s="354">
        <f t="shared" si="34"/>
        <v>0.17618653026427963</v>
      </c>
      <c r="M54" s="354"/>
      <c r="N54" s="354"/>
      <c r="O54" s="354">
        <f t="shared" ref="O54:V54" si="35">O46/O40</f>
        <v>0.14206896551724138</v>
      </c>
      <c r="P54" s="354">
        <f t="shared" si="35"/>
        <v>0.14050632911392405</v>
      </c>
      <c r="Q54" s="354">
        <f t="shared" si="35"/>
        <v>0.12870159453302962</v>
      </c>
      <c r="R54" s="354">
        <f t="shared" si="35"/>
        <v>0.14762377269797947</v>
      </c>
      <c r="S54" s="354">
        <f t="shared" si="35"/>
        <v>0.16039206950323012</v>
      </c>
      <c r="T54" s="354">
        <f t="shared" si="35"/>
        <v>0.16600555114988105</v>
      </c>
      <c r="U54" s="354">
        <f t="shared" si="35"/>
        <v>0.17336309523809523</v>
      </c>
      <c r="V54" s="354">
        <f t="shared" si="35"/>
        <v>0.17836309523809524</v>
      </c>
    </row>
    <row r="55" spans="2:22" ht="15" customHeight="1" x14ac:dyDescent="0.2">
      <c r="B55" s="353" t="s">
        <v>8</v>
      </c>
      <c r="C55" s="353"/>
      <c r="D55" s="355">
        <f t="shared" ref="D55:K55" si="36">D47/D41</f>
        <v>0.28472222222222221</v>
      </c>
      <c r="E55" s="355">
        <f t="shared" si="36"/>
        <v>0.26978417266187049</v>
      </c>
      <c r="F55" s="355">
        <f t="shared" si="36"/>
        <v>0.26122448979591839</v>
      </c>
      <c r="G55" s="355">
        <f t="shared" si="36"/>
        <v>0.25232629770126119</v>
      </c>
      <c r="H55" s="355">
        <f t="shared" si="36"/>
        <v>0.24103585657370519</v>
      </c>
      <c r="I55" s="355">
        <f t="shared" si="36"/>
        <v>0.23976253601391811</v>
      </c>
      <c r="J55" s="355">
        <f t="shared" si="36"/>
        <v>0.25600000000000001</v>
      </c>
      <c r="K55" s="355">
        <f t="shared" si="36"/>
        <v>0.28973069715073702</v>
      </c>
      <c r="M55" s="355"/>
      <c r="N55" s="355"/>
      <c r="O55" s="355">
        <f t="shared" ref="O55:V55" si="37">O47/O41</f>
        <v>0.31921824104234525</v>
      </c>
      <c r="P55" s="355">
        <f t="shared" si="37"/>
        <v>0.26275992438563328</v>
      </c>
      <c r="Q55" s="355">
        <f t="shared" si="37"/>
        <v>0.26939843068875324</v>
      </c>
      <c r="R55" s="355">
        <f t="shared" si="37"/>
        <v>0.26779636660666478</v>
      </c>
      <c r="S55" s="355">
        <f t="shared" si="37"/>
        <v>0.25730994152046782</v>
      </c>
      <c r="T55" s="355">
        <f t="shared" si="37"/>
        <v>0.28975265017667845</v>
      </c>
      <c r="U55" s="355">
        <f t="shared" si="37"/>
        <v>0.29475265017667845</v>
      </c>
      <c r="V55" s="355">
        <f t="shared" si="37"/>
        <v>0.29975265017667846</v>
      </c>
    </row>
    <row r="56" spans="2:22" ht="15" customHeight="1" x14ac:dyDescent="0.2">
      <c r="B56" s="359" t="s">
        <v>312</v>
      </c>
      <c r="C56" s="359"/>
      <c r="D56" s="367">
        <f>D49/D42</f>
        <v>0.23958333333333334</v>
      </c>
      <c r="E56" s="367">
        <f t="shared" ref="E56:K56" si="38">E49/E42</f>
        <v>0.2569148936170213</v>
      </c>
      <c r="F56" s="367">
        <f t="shared" si="38"/>
        <v>0.26539509536784739</v>
      </c>
      <c r="G56" s="367">
        <f t="shared" si="38"/>
        <v>0.2633568183586088</v>
      </c>
      <c r="H56" s="367">
        <f t="shared" si="38"/>
        <v>0.25683096601843786</v>
      </c>
      <c r="I56" s="367">
        <f t="shared" si="38"/>
        <v>0.26403175468099349</v>
      </c>
      <c r="J56" s="367">
        <f t="shared" si="38"/>
        <v>0.27564071019985659</v>
      </c>
      <c r="K56" s="367">
        <f t="shared" si="38"/>
        <v>0.29016576444789055</v>
      </c>
      <c r="O56" s="367">
        <f t="shared" ref="O56:V56" si="39">O49/O42</f>
        <v>0.22827835880933225</v>
      </c>
      <c r="P56" s="367">
        <f t="shared" si="39"/>
        <v>0.22443934310436164</v>
      </c>
      <c r="Q56" s="367">
        <f t="shared" si="39"/>
        <v>0.22710843373493975</v>
      </c>
      <c r="R56" s="367">
        <f t="shared" si="39"/>
        <v>0.25640454702787613</v>
      </c>
      <c r="S56" s="367">
        <f t="shared" si="39"/>
        <v>0.27211500709863828</v>
      </c>
      <c r="T56" s="367">
        <f t="shared" si="39"/>
        <v>0.29176546511468232</v>
      </c>
      <c r="U56" s="367">
        <f t="shared" si="39"/>
        <v>0.30905005719800005</v>
      </c>
      <c r="V56" s="367">
        <f t="shared" si="39"/>
        <v>0.32561319380134374</v>
      </c>
    </row>
    <row r="58" spans="2:22" ht="15" customHeight="1" x14ac:dyDescent="0.2">
      <c r="B58" s="361" t="s">
        <v>481</v>
      </c>
      <c r="C58" s="361"/>
      <c r="D58" s="361"/>
      <c r="E58" s="361"/>
      <c r="F58" s="361"/>
      <c r="G58" s="361"/>
      <c r="H58" s="361"/>
      <c r="I58" s="361"/>
      <c r="J58" s="361"/>
      <c r="K58" s="361"/>
      <c r="L58" s="361"/>
      <c r="M58" s="361"/>
      <c r="N58" s="361"/>
      <c r="O58" s="361"/>
      <c r="P58" s="361"/>
      <c r="Q58" s="361"/>
      <c r="R58" s="361"/>
      <c r="S58" s="361"/>
      <c r="T58" s="361"/>
      <c r="U58" s="361"/>
      <c r="V58" s="361"/>
    </row>
    <row r="60" spans="2:22" ht="15" customHeight="1" x14ac:dyDescent="0.2">
      <c r="B60" s="352" t="s">
        <v>5</v>
      </c>
      <c r="C60" s="352"/>
      <c r="D60" s="364"/>
      <c r="E60" s="364"/>
      <c r="F60" s="364"/>
      <c r="G60" s="364">
        <f t="shared" ref="G60:K64" si="40">G38-G8</f>
        <v>36.391238095238123</v>
      </c>
      <c r="H60" s="364">
        <f t="shared" si="40"/>
        <v>33.360317460317447</v>
      </c>
      <c r="I60" s="364">
        <f t="shared" si="40"/>
        <v>29.156349206349205</v>
      </c>
      <c r="J60" s="364">
        <f t="shared" si="40"/>
        <v>37.352380952380827</v>
      </c>
      <c r="K60" s="364">
        <f t="shared" si="40"/>
        <v>79.990079365079509</v>
      </c>
      <c r="O60" s="364"/>
      <c r="P60" s="364"/>
      <c r="Q60" s="364"/>
      <c r="R60" s="364">
        <f t="shared" ref="R60:V64" si="41">R38-R8</f>
        <v>36.39123809523835</v>
      </c>
      <c r="S60" s="364">
        <f t="shared" si="41"/>
        <v>179.85912698412722</v>
      </c>
      <c r="T60" s="364">
        <f t="shared" si="41"/>
        <v>522.21477528171908</v>
      </c>
      <c r="U60" s="364">
        <f t="shared" si="41"/>
        <v>1095.6849189911254</v>
      </c>
      <c r="V60" s="364">
        <f t="shared" si="41"/>
        <v>1516.6806218419188</v>
      </c>
    </row>
    <row r="61" spans="2:22" ht="15" customHeight="1" x14ac:dyDescent="0.2">
      <c r="B61" s="352" t="s">
        <v>6</v>
      </c>
      <c r="C61" s="352"/>
      <c r="D61" s="364"/>
      <c r="E61" s="364"/>
      <c r="F61" s="364"/>
      <c r="G61" s="364">
        <f t="shared" si="40"/>
        <v>0</v>
      </c>
      <c r="H61" s="364">
        <f t="shared" si="40"/>
        <v>0</v>
      </c>
      <c r="I61" s="364">
        <f t="shared" si="40"/>
        <v>0</v>
      </c>
      <c r="J61" s="364">
        <f t="shared" si="40"/>
        <v>0</v>
      </c>
      <c r="K61" s="364">
        <f t="shared" si="40"/>
        <v>0</v>
      </c>
      <c r="O61" s="364"/>
      <c r="P61" s="364"/>
      <c r="Q61" s="364"/>
      <c r="R61" s="364">
        <f t="shared" si="41"/>
        <v>0</v>
      </c>
      <c r="S61" s="364">
        <f t="shared" si="41"/>
        <v>0</v>
      </c>
      <c r="T61" s="364">
        <f t="shared" si="41"/>
        <v>0</v>
      </c>
      <c r="U61" s="364">
        <f t="shared" si="41"/>
        <v>0</v>
      </c>
      <c r="V61" s="364">
        <f t="shared" si="41"/>
        <v>0</v>
      </c>
    </row>
    <row r="62" spans="2:22" ht="15" customHeight="1" x14ac:dyDescent="0.2">
      <c r="B62" s="352" t="s">
        <v>7</v>
      </c>
      <c r="C62" s="352"/>
      <c r="D62" s="364"/>
      <c r="E62" s="364"/>
      <c r="F62" s="364"/>
      <c r="G62" s="364">
        <f t="shared" si="40"/>
        <v>0</v>
      </c>
      <c r="H62" s="364">
        <f t="shared" si="40"/>
        <v>0</v>
      </c>
      <c r="I62" s="364">
        <f t="shared" si="40"/>
        <v>0</v>
      </c>
      <c r="J62" s="364">
        <f t="shared" si="40"/>
        <v>0</v>
      </c>
      <c r="K62" s="364">
        <f t="shared" si="40"/>
        <v>0</v>
      </c>
      <c r="O62" s="364"/>
      <c r="P62" s="364"/>
      <c r="Q62" s="364"/>
      <c r="R62" s="364">
        <f t="shared" si="41"/>
        <v>0</v>
      </c>
      <c r="S62" s="364">
        <f t="shared" si="41"/>
        <v>0</v>
      </c>
      <c r="T62" s="364">
        <f t="shared" si="41"/>
        <v>0</v>
      </c>
      <c r="U62" s="364">
        <f t="shared" si="41"/>
        <v>0</v>
      </c>
      <c r="V62" s="364">
        <f t="shared" si="41"/>
        <v>0</v>
      </c>
    </row>
    <row r="63" spans="2:22" ht="15" customHeight="1" x14ac:dyDescent="0.2">
      <c r="B63" s="352" t="s">
        <v>8</v>
      </c>
      <c r="C63" s="352"/>
      <c r="D63" s="364"/>
      <c r="E63" s="364"/>
      <c r="F63" s="364"/>
      <c r="G63" s="364">
        <f t="shared" si="40"/>
        <v>0</v>
      </c>
      <c r="H63" s="364">
        <f t="shared" si="40"/>
        <v>0</v>
      </c>
      <c r="I63" s="364">
        <f t="shared" si="40"/>
        <v>0</v>
      </c>
      <c r="J63" s="364">
        <f t="shared" si="40"/>
        <v>0</v>
      </c>
      <c r="K63" s="364">
        <f t="shared" si="40"/>
        <v>0</v>
      </c>
      <c r="O63" s="364"/>
      <c r="P63" s="364"/>
      <c r="Q63" s="364"/>
      <c r="R63" s="364">
        <f t="shared" si="41"/>
        <v>0</v>
      </c>
      <c r="S63" s="364">
        <f t="shared" si="41"/>
        <v>0</v>
      </c>
      <c r="T63" s="364">
        <f t="shared" si="41"/>
        <v>0</v>
      </c>
      <c r="U63" s="364">
        <f t="shared" si="41"/>
        <v>0</v>
      </c>
      <c r="V63" s="364">
        <f t="shared" si="41"/>
        <v>0</v>
      </c>
    </row>
    <row r="64" spans="2:22" ht="15" customHeight="1" x14ac:dyDescent="0.2">
      <c r="B64" s="359" t="s">
        <v>400</v>
      </c>
      <c r="C64" s="359"/>
      <c r="D64" s="364"/>
      <c r="E64" s="364"/>
      <c r="F64" s="364"/>
      <c r="G64" s="364">
        <f t="shared" si="40"/>
        <v>36.391238095238123</v>
      </c>
      <c r="H64" s="364">
        <f t="shared" si="40"/>
        <v>33.360317460317447</v>
      </c>
      <c r="I64" s="364">
        <f t="shared" si="40"/>
        <v>29.156349206349205</v>
      </c>
      <c r="J64" s="364">
        <f t="shared" si="40"/>
        <v>37.352380952380827</v>
      </c>
      <c r="K64" s="364">
        <f t="shared" si="40"/>
        <v>79.990079365079509</v>
      </c>
      <c r="O64" s="364"/>
      <c r="P64" s="364"/>
      <c r="Q64" s="364"/>
      <c r="R64" s="364">
        <f t="shared" si="41"/>
        <v>30.305238095237655</v>
      </c>
      <c r="S64" s="364">
        <f t="shared" si="41"/>
        <v>179.85912698412722</v>
      </c>
      <c r="T64" s="364">
        <f t="shared" si="41"/>
        <v>522.21477528171818</v>
      </c>
      <c r="U64" s="364">
        <f t="shared" si="41"/>
        <v>1095.6849189911263</v>
      </c>
      <c r="V64" s="364">
        <f t="shared" si="41"/>
        <v>1516.6806218419188</v>
      </c>
    </row>
    <row r="66" spans="2:28" ht="15" customHeight="1" x14ac:dyDescent="0.2">
      <c r="B66" s="352" t="s">
        <v>5</v>
      </c>
      <c r="C66" s="352"/>
      <c r="D66" s="290"/>
      <c r="E66" s="290"/>
      <c r="F66" s="290"/>
      <c r="G66" s="290">
        <f t="shared" ref="G66:K69" si="42">G44-G20</f>
        <v>11.733526677481905</v>
      </c>
      <c r="H66" s="290">
        <f t="shared" si="42"/>
        <v>10.650404537732868</v>
      </c>
      <c r="I66" s="290">
        <f t="shared" si="42"/>
        <v>9.4756329350334454</v>
      </c>
      <c r="J66" s="290">
        <f t="shared" si="42"/>
        <v>12.435556729436655</v>
      </c>
      <c r="K66" s="290">
        <f t="shared" si="42"/>
        <v>27.565811965811974</v>
      </c>
      <c r="O66" s="290"/>
      <c r="P66" s="290"/>
      <c r="Q66" s="290"/>
      <c r="R66" s="290">
        <f t="shared" ref="R66:V70" si="43">R44-R20</f>
        <v>11.733526677481905</v>
      </c>
      <c r="S66" s="290">
        <f t="shared" si="43"/>
        <v>60.127406168014886</v>
      </c>
      <c r="T66" s="290">
        <f t="shared" si="43"/>
        <v>183.34191554408108</v>
      </c>
      <c r="U66" s="290">
        <f t="shared" si="43"/>
        <v>635.41282009328597</v>
      </c>
      <c r="V66" s="290">
        <f t="shared" si="43"/>
        <v>2836.4165615265701</v>
      </c>
    </row>
    <row r="67" spans="2:28" ht="15" customHeight="1" x14ac:dyDescent="0.2">
      <c r="B67" s="352" t="s">
        <v>6</v>
      </c>
      <c r="C67" s="352"/>
      <c r="D67" s="290"/>
      <c r="E67" s="290"/>
      <c r="F67" s="290"/>
      <c r="G67" s="290">
        <f t="shared" si="42"/>
        <v>0</v>
      </c>
      <c r="H67" s="290">
        <f t="shared" si="42"/>
        <v>0</v>
      </c>
      <c r="I67" s="290">
        <f t="shared" si="42"/>
        <v>0</v>
      </c>
      <c r="J67" s="290">
        <f t="shared" si="42"/>
        <v>0</v>
      </c>
      <c r="K67" s="290">
        <f t="shared" si="42"/>
        <v>0</v>
      </c>
      <c r="O67" s="290"/>
      <c r="P67" s="290"/>
      <c r="Q67" s="290"/>
      <c r="R67" s="290">
        <f t="shared" si="43"/>
        <v>0</v>
      </c>
      <c r="S67" s="290">
        <f t="shared" si="43"/>
        <v>0</v>
      </c>
      <c r="T67" s="290">
        <f t="shared" si="43"/>
        <v>0</v>
      </c>
      <c r="U67" s="290">
        <f t="shared" si="43"/>
        <v>0</v>
      </c>
      <c r="V67" s="290">
        <f t="shared" si="43"/>
        <v>654.76187484571722</v>
      </c>
    </row>
    <row r="68" spans="2:28" ht="15" customHeight="1" x14ac:dyDescent="0.2">
      <c r="B68" s="352" t="s">
        <v>7</v>
      </c>
      <c r="C68" s="352"/>
      <c r="D68" s="290"/>
      <c r="E68" s="290"/>
      <c r="F68" s="290"/>
      <c r="G68" s="290">
        <f t="shared" si="42"/>
        <v>0</v>
      </c>
      <c r="H68" s="290">
        <f t="shared" si="42"/>
        <v>0</v>
      </c>
      <c r="I68" s="290">
        <f t="shared" si="42"/>
        <v>0</v>
      </c>
      <c r="J68" s="290">
        <f t="shared" si="42"/>
        <v>0</v>
      </c>
      <c r="K68" s="290">
        <f t="shared" si="42"/>
        <v>0</v>
      </c>
      <c r="O68" s="290"/>
      <c r="P68" s="290"/>
      <c r="Q68" s="290"/>
      <c r="R68" s="290">
        <f t="shared" si="43"/>
        <v>0</v>
      </c>
      <c r="S68" s="290">
        <f t="shared" si="43"/>
        <v>0</v>
      </c>
      <c r="T68" s="290">
        <f t="shared" si="43"/>
        <v>0</v>
      </c>
      <c r="U68" s="290">
        <f t="shared" si="43"/>
        <v>0</v>
      </c>
      <c r="V68" s="290">
        <f t="shared" si="43"/>
        <v>263.26392857142855</v>
      </c>
    </row>
    <row r="69" spans="2:28" ht="15" customHeight="1" x14ac:dyDescent="0.2">
      <c r="B69" s="352" t="s">
        <v>8</v>
      </c>
      <c r="C69" s="352"/>
      <c r="D69" s="290"/>
      <c r="E69" s="290"/>
      <c r="F69" s="290"/>
      <c r="G69" s="290">
        <f t="shared" si="42"/>
        <v>0</v>
      </c>
      <c r="H69" s="290">
        <f t="shared" si="42"/>
        <v>0</v>
      </c>
      <c r="I69" s="290">
        <f t="shared" si="42"/>
        <v>0</v>
      </c>
      <c r="J69" s="290">
        <f t="shared" si="42"/>
        <v>0</v>
      </c>
      <c r="K69" s="290">
        <f t="shared" si="42"/>
        <v>0</v>
      </c>
      <c r="O69" s="290"/>
      <c r="P69" s="290"/>
      <c r="Q69" s="290"/>
      <c r="R69" s="290">
        <f t="shared" si="43"/>
        <v>0</v>
      </c>
      <c r="S69" s="290">
        <f t="shared" si="43"/>
        <v>0</v>
      </c>
      <c r="T69" s="290">
        <f t="shared" si="43"/>
        <v>0</v>
      </c>
      <c r="U69" s="290">
        <f t="shared" si="43"/>
        <v>331.79421572438167</v>
      </c>
      <c r="V69" s="290">
        <f t="shared" si="43"/>
        <v>353.10862190812725</v>
      </c>
    </row>
    <row r="70" spans="2:28" ht="15" customHeight="1" x14ac:dyDescent="0.2">
      <c r="R70" s="290">
        <f t="shared" si="43"/>
        <v>11.733526677481677</v>
      </c>
      <c r="S70" s="290">
        <f t="shared" si="43"/>
        <v>60.127406168015114</v>
      </c>
      <c r="T70" s="290">
        <f t="shared" si="43"/>
        <v>183.34191554408108</v>
      </c>
      <c r="U70" s="290">
        <f t="shared" si="43"/>
        <v>967.20703581766747</v>
      </c>
      <c r="V70" s="290">
        <f t="shared" si="43"/>
        <v>4107.5509868518429</v>
      </c>
    </row>
    <row r="71" spans="2:28" ht="15" customHeight="1" x14ac:dyDescent="0.2">
      <c r="B71" s="359" t="s">
        <v>312</v>
      </c>
      <c r="C71" s="359"/>
      <c r="D71" s="362"/>
      <c r="E71" s="362"/>
      <c r="F71" s="362"/>
      <c r="G71" s="362">
        <f>G49-G26</f>
        <v>8.1089865062089643</v>
      </c>
      <c r="H71" s="362">
        <f>H49-H26</f>
        <v>8.8166431649548258</v>
      </c>
      <c r="I71" s="362">
        <f>I49-I26</f>
        <v>5.0143637901002194</v>
      </c>
      <c r="J71" s="362">
        <f>J49-J26</f>
        <v>15.10502395403762</v>
      </c>
      <c r="K71" s="362">
        <f>K49-K26</f>
        <v>52.508988856949941</v>
      </c>
      <c r="O71" s="290"/>
      <c r="P71" s="290"/>
      <c r="Q71" s="290"/>
      <c r="R71" s="290">
        <f>R49-R26</f>
        <v>1.503986506209003</v>
      </c>
      <c r="S71" s="290">
        <f>S49-S26</f>
        <v>64.620019766042788</v>
      </c>
      <c r="T71" s="290">
        <f>T49-T26</f>
        <v>320.92690213440164</v>
      </c>
      <c r="U71" s="290">
        <f>U49-U26</f>
        <v>444.27432843031738</v>
      </c>
      <c r="V71" s="290">
        <f>V49-V26</f>
        <v>427.93282068061353</v>
      </c>
      <c r="AA71" s="350" t="s">
        <v>492</v>
      </c>
      <c r="AB71" s="369">
        <v>0</v>
      </c>
    </row>
    <row r="73" spans="2:28" ht="15" customHeight="1" x14ac:dyDescent="0.2">
      <c r="T73" s="367">
        <f>T71/T64</f>
        <v>0.61454963996618406</v>
      </c>
      <c r="U73" s="367">
        <f t="shared" ref="U73:V73" si="44">U71/U64</f>
        <v>0.40547635614022304</v>
      </c>
      <c r="V73" s="367">
        <f t="shared" si="44"/>
        <v>0.28215091201001463</v>
      </c>
    </row>
    <row r="75" spans="2:28" ht="15" customHeight="1" x14ac:dyDescent="0.2">
      <c r="B75" s="378" t="s">
        <v>382</v>
      </c>
      <c r="C75" s="378"/>
      <c r="Z75" s="350" t="s">
        <v>417</v>
      </c>
      <c r="AA75" s="371">
        <f>'IRR Analysis'!D35</f>
        <v>0.30192311406135564</v>
      </c>
      <c r="AB75" s="371">
        <f>'IRR Analysis'!E35</f>
        <v>0.25128168463706979</v>
      </c>
    </row>
    <row r="76" spans="2:28" ht="15" customHeight="1" x14ac:dyDescent="0.2">
      <c r="B76" s="379" t="s">
        <v>5</v>
      </c>
      <c r="C76" s="350">
        <f>Model!N61</f>
        <v>474</v>
      </c>
      <c r="D76" s="350">
        <f>Model!O61</f>
        <v>492</v>
      </c>
      <c r="E76" s="350">
        <f>Model!P61</f>
        <v>528</v>
      </c>
      <c r="F76" s="350">
        <f>Model!Q61</f>
        <v>534</v>
      </c>
      <c r="G76" s="290">
        <f>$G124*G$8</f>
        <v>543.88323809523808</v>
      </c>
      <c r="H76" s="290">
        <f t="shared" ref="H76:K76" si="45">$G124*H$8</f>
        <v>545.1603174603174</v>
      </c>
      <c r="I76" s="290">
        <f t="shared" si="45"/>
        <v>570.30634920634918</v>
      </c>
      <c r="J76" s="290">
        <f t="shared" si="45"/>
        <v>577.65238095238089</v>
      </c>
      <c r="K76" s="290">
        <f t="shared" si="45"/>
        <v>596.8650793650794</v>
      </c>
      <c r="R76" s="364">
        <f>SUM(D76:G76)</f>
        <v>2097.8832380952381</v>
      </c>
      <c r="S76" s="364">
        <f>SUM(H76:K76)</f>
        <v>2289.9841269841272</v>
      </c>
      <c r="T76" s="290">
        <f t="shared" ref="T76:V76" si="46">$G124*T$8</f>
        <v>2629.9584761904762</v>
      </c>
      <c r="U76" s="290">
        <f t="shared" si="46"/>
        <v>2800.1095238095236</v>
      </c>
      <c r="V76" s="290">
        <f t="shared" si="46"/>
        <v>3241.2952380952379</v>
      </c>
      <c r="AA76" s="371"/>
      <c r="AB76" s="371"/>
    </row>
    <row r="77" spans="2:28" ht="15" customHeight="1" x14ac:dyDescent="0.2">
      <c r="B77" s="379" t="s">
        <v>6</v>
      </c>
      <c r="C77" s="350">
        <f>Model!N63</f>
        <v>227</v>
      </c>
      <c r="D77" s="350">
        <f>Model!O63</f>
        <v>244</v>
      </c>
      <c r="E77" s="350">
        <f>Model!P63</f>
        <v>251</v>
      </c>
      <c r="F77" s="350">
        <f>Model!Q63</f>
        <v>245</v>
      </c>
      <c r="G77" s="290">
        <f>$G125*G$9</f>
        <v>244.65</v>
      </c>
      <c r="H77" s="290">
        <f t="shared" ref="H77:K77" si="47">$G125*H$9</f>
        <v>255.78125</v>
      </c>
      <c r="I77" s="290">
        <f t="shared" si="47"/>
        <v>260.78125</v>
      </c>
      <c r="J77" s="290">
        <f t="shared" si="47"/>
        <v>260.9375</v>
      </c>
      <c r="K77" s="290">
        <f t="shared" si="47"/>
        <v>268.75</v>
      </c>
      <c r="R77" s="364">
        <f t="shared" ref="R77:R94" si="48">SUM(D77:G77)</f>
        <v>984.65</v>
      </c>
      <c r="S77" s="364">
        <f t="shared" ref="S77:S79" si="49">SUM(H77:K77)</f>
        <v>1046.25</v>
      </c>
      <c r="T77" s="290">
        <f t="shared" ref="T77:V77" si="50">$G125*T$9</f>
        <v>1179.2874999999999</v>
      </c>
      <c r="U77" s="290">
        <f t="shared" si="50"/>
        <v>1265.9375</v>
      </c>
      <c r="V77" s="290">
        <f t="shared" si="50"/>
        <v>1388.125</v>
      </c>
      <c r="AA77" s="371"/>
      <c r="AB77" s="371"/>
    </row>
    <row r="78" spans="2:28" ht="15" customHeight="1" x14ac:dyDescent="0.2">
      <c r="B78" s="379" t="s">
        <v>7</v>
      </c>
      <c r="C78" s="350">
        <f>Model!N65</f>
        <v>183</v>
      </c>
      <c r="D78" s="350">
        <f>Model!O65</f>
        <v>192</v>
      </c>
      <c r="E78" s="350">
        <f>Model!P65</f>
        <v>200</v>
      </c>
      <c r="F78" s="350">
        <f>Model!Q65</f>
        <v>183</v>
      </c>
      <c r="G78" s="290">
        <f>$G126*G$10</f>
        <v>191.79557312252967</v>
      </c>
      <c r="H78" s="290">
        <f t="shared" ref="H78:K78" si="51">$G126*H$10</f>
        <v>195.29644268774706</v>
      </c>
      <c r="I78" s="290">
        <f t="shared" si="51"/>
        <v>203.61462450592887</v>
      </c>
      <c r="J78" s="290">
        <f t="shared" si="51"/>
        <v>200.72134387351781</v>
      </c>
      <c r="K78" s="290">
        <f t="shared" si="51"/>
        <v>212.11363636363637</v>
      </c>
      <c r="R78" s="364">
        <f t="shared" si="48"/>
        <v>766.79557312252973</v>
      </c>
      <c r="S78" s="364">
        <f t="shared" si="49"/>
        <v>811.74604743083012</v>
      </c>
      <c r="T78" s="290">
        <f t="shared" ref="T78:V78" si="52">$G126*T$10</f>
        <v>912.10671936758899</v>
      </c>
      <c r="U78" s="290">
        <f t="shared" si="52"/>
        <v>972.14229249011862</v>
      </c>
      <c r="V78" s="290">
        <f t="shared" si="52"/>
        <v>1067.6205533596838</v>
      </c>
      <c r="AA78" s="371"/>
      <c r="AB78" s="371"/>
    </row>
    <row r="79" spans="2:28" ht="15" customHeight="1" x14ac:dyDescent="0.2">
      <c r="B79" s="379" t="s">
        <v>8</v>
      </c>
      <c r="C79" s="350">
        <f>Model!N67</f>
        <v>0</v>
      </c>
      <c r="D79" s="350">
        <f>Model!O67</f>
        <v>0</v>
      </c>
      <c r="E79" s="350">
        <f>Model!P67</f>
        <v>0</v>
      </c>
      <c r="F79" s="350">
        <f>Model!Q67</f>
        <v>0</v>
      </c>
      <c r="G79" s="290">
        <f>$G127*G$11</f>
        <v>0</v>
      </c>
      <c r="H79" s="290">
        <f t="shared" ref="H79:K79" si="53">$G127*H$11</f>
        <v>0</v>
      </c>
      <c r="I79" s="290">
        <f t="shared" si="53"/>
        <v>0</v>
      </c>
      <c r="J79" s="290">
        <f t="shared" si="53"/>
        <v>0</v>
      </c>
      <c r="K79" s="290">
        <f t="shared" si="53"/>
        <v>0</v>
      </c>
      <c r="R79" s="364">
        <f t="shared" si="48"/>
        <v>0</v>
      </c>
      <c r="S79" s="364">
        <f t="shared" si="49"/>
        <v>0</v>
      </c>
      <c r="T79" s="290">
        <f t="shared" ref="T79:V79" si="54">$G127*T$11</f>
        <v>0</v>
      </c>
      <c r="U79" s="290">
        <f t="shared" si="54"/>
        <v>0</v>
      </c>
      <c r="V79" s="290">
        <f t="shared" si="54"/>
        <v>0</v>
      </c>
    </row>
    <row r="80" spans="2:28" ht="15" customHeight="1" x14ac:dyDescent="0.2">
      <c r="B80" s="378" t="s">
        <v>382</v>
      </c>
      <c r="G80" s="290"/>
      <c r="H80" s="290"/>
      <c r="I80" s="290"/>
      <c r="J80" s="290"/>
      <c r="K80" s="290"/>
      <c r="T80" s="290"/>
      <c r="U80" s="290"/>
      <c r="V80" s="290"/>
    </row>
    <row r="81" spans="2:28" ht="15" customHeight="1" x14ac:dyDescent="0.2">
      <c r="B81" s="379" t="s">
        <v>5</v>
      </c>
      <c r="C81" s="350">
        <f>Model!N77</f>
        <v>168</v>
      </c>
      <c r="D81" s="350">
        <f>Model!O77</f>
        <v>185</v>
      </c>
      <c r="E81" s="350">
        <f>Model!P77</f>
        <v>192</v>
      </c>
      <c r="F81" s="350">
        <f>Model!Q77</f>
        <v>189</v>
      </c>
      <c r="G81" s="290">
        <f>$G129*G$8</f>
        <v>192.49800000000002</v>
      </c>
      <c r="H81" s="290">
        <f t="shared" ref="H81:K81" si="55">$G129*H$8</f>
        <v>192.95000000000002</v>
      </c>
      <c r="I81" s="290">
        <f t="shared" si="55"/>
        <v>201.85000000000002</v>
      </c>
      <c r="J81" s="290">
        <f t="shared" si="55"/>
        <v>204.45000000000002</v>
      </c>
      <c r="K81" s="290">
        <f t="shared" si="55"/>
        <v>211.25</v>
      </c>
      <c r="R81" s="364">
        <f t="shared" si="48"/>
        <v>758.49800000000005</v>
      </c>
      <c r="S81" s="364">
        <f>SUM(H81:K81)</f>
        <v>810.50000000000011</v>
      </c>
      <c r="T81" s="290">
        <f t="shared" ref="T81:V81" si="56">$G129*T$8</f>
        <v>930.82800000000009</v>
      </c>
      <c r="U81" s="290">
        <f t="shared" si="56"/>
        <v>991.05000000000007</v>
      </c>
      <c r="V81" s="290">
        <f t="shared" si="56"/>
        <v>1147.2</v>
      </c>
      <c r="AA81" s="371"/>
      <c r="AB81" s="371"/>
    </row>
    <row r="82" spans="2:28" ht="15" customHeight="1" x14ac:dyDescent="0.2">
      <c r="B82" s="379" t="s">
        <v>6</v>
      </c>
      <c r="C82" s="350">
        <f>Model!N79</f>
        <v>42</v>
      </c>
      <c r="D82" s="350">
        <f>Model!O79</f>
        <v>39</v>
      </c>
      <c r="E82" s="350">
        <f>Model!P79</f>
        <v>37</v>
      </c>
      <c r="F82" s="350">
        <f>Model!Q79</f>
        <v>43</v>
      </c>
      <c r="G82" s="290">
        <f>$G130*G$9</f>
        <v>42.938571428571429</v>
      </c>
      <c r="H82" s="290">
        <f t="shared" ref="H82:K82" si="57">$G130*H$9</f>
        <v>44.892219387755098</v>
      </c>
      <c r="I82" s="290">
        <f t="shared" si="57"/>
        <v>45.769770408163261</v>
      </c>
      <c r="J82" s="290">
        <f t="shared" si="57"/>
        <v>45.797193877551017</v>
      </c>
      <c r="K82" s="290">
        <f t="shared" si="57"/>
        <v>47.168367346938773</v>
      </c>
      <c r="R82" s="364">
        <f t="shared" si="48"/>
        <v>161.93857142857144</v>
      </c>
      <c r="S82" s="364">
        <f t="shared" ref="S82:S84" si="58">SUM(H82:K82)</f>
        <v>183.62755102040813</v>
      </c>
      <c r="T82" s="290">
        <f t="shared" ref="T82:V82" si="59">$G130*T$9</f>
        <v>206.97698979591834</v>
      </c>
      <c r="U82" s="290">
        <f t="shared" si="59"/>
        <v>222.18494897959184</v>
      </c>
      <c r="V82" s="290">
        <f t="shared" si="59"/>
        <v>243.63010204081633</v>
      </c>
      <c r="AA82" s="371"/>
      <c r="AB82" s="371"/>
    </row>
    <row r="83" spans="2:28" ht="15" customHeight="1" x14ac:dyDescent="0.2">
      <c r="B83" s="379" t="s">
        <v>7</v>
      </c>
      <c r="C83" s="350">
        <f>Model!N81</f>
        <v>41</v>
      </c>
      <c r="D83" s="350">
        <f>Model!O81</f>
        <v>56</v>
      </c>
      <c r="E83" s="350">
        <f>Model!P81</f>
        <v>61</v>
      </c>
      <c r="F83" s="350">
        <f>Model!Q81</f>
        <v>57</v>
      </c>
      <c r="G83" s="290">
        <f>$G131*G$10</f>
        <v>59.739604743083014</v>
      </c>
      <c r="H83" s="290">
        <f t="shared" ref="H83:K83" si="60">$G131*H$10</f>
        <v>60.830039525691703</v>
      </c>
      <c r="I83" s="290">
        <f t="shared" si="60"/>
        <v>63.420948616600789</v>
      </c>
      <c r="J83" s="290">
        <f t="shared" si="60"/>
        <v>62.519762845849804</v>
      </c>
      <c r="K83" s="290">
        <f t="shared" si="60"/>
        <v>66.068181818181813</v>
      </c>
      <c r="R83" s="364">
        <f t="shared" si="48"/>
        <v>233.73960474308302</v>
      </c>
      <c r="S83" s="364">
        <f t="shared" si="58"/>
        <v>252.83893280632412</v>
      </c>
      <c r="T83" s="290">
        <f t="shared" ref="T83:V83" si="61">$G131*T$10</f>
        <v>284.098814229249</v>
      </c>
      <c r="U83" s="290">
        <f t="shared" si="61"/>
        <v>302.798418972332</v>
      </c>
      <c r="V83" s="290">
        <f t="shared" si="61"/>
        <v>332.53754940711462</v>
      </c>
      <c r="AA83" s="371"/>
      <c r="AB83" s="371"/>
    </row>
    <row r="84" spans="2:28" ht="15" customHeight="1" x14ac:dyDescent="0.2">
      <c r="B84" s="379" t="s">
        <v>8</v>
      </c>
      <c r="C84" s="350">
        <f>Model!N83</f>
        <v>0</v>
      </c>
      <c r="D84" s="350">
        <f>Model!O83</f>
        <v>0</v>
      </c>
      <c r="E84" s="350">
        <f>Model!P83</f>
        <v>0</v>
      </c>
      <c r="F84" s="350">
        <f>Model!Q83</f>
        <v>0</v>
      </c>
      <c r="G84" s="290">
        <f>$G132*G$11</f>
        <v>0</v>
      </c>
      <c r="H84" s="290">
        <f t="shared" ref="H84:K84" si="62">$G132*H$11</f>
        <v>0</v>
      </c>
      <c r="I84" s="290">
        <f t="shared" si="62"/>
        <v>0</v>
      </c>
      <c r="J84" s="290">
        <f t="shared" si="62"/>
        <v>0</v>
      </c>
      <c r="K84" s="290">
        <f t="shared" si="62"/>
        <v>0</v>
      </c>
      <c r="R84" s="364">
        <f t="shared" si="48"/>
        <v>0</v>
      </c>
      <c r="S84" s="364">
        <f t="shared" si="58"/>
        <v>0</v>
      </c>
      <c r="T84" s="290">
        <f t="shared" ref="T84:V84" si="63">$G132*T$11</f>
        <v>0</v>
      </c>
      <c r="U84" s="290">
        <f t="shared" si="63"/>
        <v>0</v>
      </c>
      <c r="V84" s="290">
        <f t="shared" si="63"/>
        <v>0</v>
      </c>
    </row>
    <row r="85" spans="2:28" ht="15" customHeight="1" x14ac:dyDescent="0.2">
      <c r="B85" s="378" t="s">
        <v>384</v>
      </c>
      <c r="G85" s="290"/>
      <c r="H85" s="290"/>
      <c r="I85" s="290"/>
      <c r="J85" s="290"/>
      <c r="K85" s="290"/>
      <c r="T85" s="290"/>
      <c r="U85" s="290"/>
      <c r="V85" s="290"/>
    </row>
    <row r="86" spans="2:28" ht="15" customHeight="1" x14ac:dyDescent="0.2">
      <c r="B86" s="379" t="s">
        <v>5</v>
      </c>
      <c r="C86" s="350">
        <f>Model!N92</f>
        <v>0</v>
      </c>
      <c r="D86" s="350">
        <f>Model!O92</f>
        <v>0</v>
      </c>
      <c r="E86" s="350">
        <f>Model!P92</f>
        <v>0</v>
      </c>
      <c r="F86" s="350">
        <f>Model!Q92</f>
        <v>0</v>
      </c>
      <c r="G86" s="290">
        <f>$G134*G$8</f>
        <v>0</v>
      </c>
      <c r="H86" s="290">
        <f t="shared" ref="H86:K86" si="64">$G134*H$8</f>
        <v>0</v>
      </c>
      <c r="I86" s="290">
        <f t="shared" si="64"/>
        <v>0</v>
      </c>
      <c r="J86" s="290">
        <f t="shared" si="64"/>
        <v>0</v>
      </c>
      <c r="K86" s="290">
        <f t="shared" si="64"/>
        <v>0</v>
      </c>
      <c r="R86" s="364">
        <f t="shared" si="48"/>
        <v>0</v>
      </c>
      <c r="S86" s="364">
        <f>SUM(H86:K86)</f>
        <v>0</v>
      </c>
      <c r="T86" s="290">
        <f t="shared" ref="T86:V86" si="65">$G134*T$8</f>
        <v>0</v>
      </c>
      <c r="U86" s="290">
        <f t="shared" si="65"/>
        <v>0</v>
      </c>
      <c r="V86" s="290">
        <f t="shared" si="65"/>
        <v>0</v>
      </c>
      <c r="AA86" s="371"/>
      <c r="AB86" s="371"/>
    </row>
    <row r="87" spans="2:28" ht="15" customHeight="1" x14ac:dyDescent="0.2">
      <c r="B87" s="379" t="s">
        <v>6</v>
      </c>
      <c r="C87" s="362">
        <f>Model!N94</f>
        <v>63</v>
      </c>
      <c r="D87" s="362">
        <f>Model!O94</f>
        <v>66</v>
      </c>
      <c r="E87" s="362">
        <f>Model!P94</f>
        <v>68</v>
      </c>
      <c r="F87" s="362">
        <f>Model!Q94</f>
        <v>65</v>
      </c>
      <c r="G87" s="290">
        <f>$G135*G$9</f>
        <v>64.907142857142858</v>
      </c>
      <c r="H87" s="290">
        <f t="shared" ref="H87:K87" si="66">$G135*H$9</f>
        <v>67.860331632653057</v>
      </c>
      <c r="I87" s="290">
        <f t="shared" si="66"/>
        <v>69.186862244897952</v>
      </c>
      <c r="J87" s="290">
        <f t="shared" si="66"/>
        <v>69.228316326530603</v>
      </c>
      <c r="K87" s="290">
        <f t="shared" si="66"/>
        <v>71.301020408163268</v>
      </c>
      <c r="R87" s="364">
        <f t="shared" si="48"/>
        <v>263.90714285714284</v>
      </c>
      <c r="S87" s="364">
        <f t="shared" ref="S87:S89" si="67">SUM(H87:K87)</f>
        <v>277.57653061224488</v>
      </c>
      <c r="T87" s="290">
        <f t="shared" ref="T87:V87" si="68">$G135*T$9</f>
        <v>312.87219387755101</v>
      </c>
      <c r="U87" s="290">
        <f t="shared" si="68"/>
        <v>335.86096938775506</v>
      </c>
      <c r="V87" s="290">
        <f t="shared" si="68"/>
        <v>368.27806122448976</v>
      </c>
      <c r="AA87" s="371"/>
      <c r="AB87" s="371"/>
    </row>
    <row r="88" spans="2:28" ht="15" customHeight="1" x14ac:dyDescent="0.2">
      <c r="B88" s="379" t="s">
        <v>7</v>
      </c>
      <c r="C88" s="362">
        <f>Model!N96</f>
        <v>0</v>
      </c>
      <c r="D88" s="362">
        <f>Model!O96</f>
        <v>0</v>
      </c>
      <c r="E88" s="362">
        <f>Model!P96</f>
        <v>0</v>
      </c>
      <c r="F88" s="362">
        <f>Model!Q96</f>
        <v>0</v>
      </c>
      <c r="G88" s="290">
        <f>$G136*G$10</f>
        <v>0</v>
      </c>
      <c r="H88" s="290">
        <f t="shared" ref="H88:K88" si="69">$G136*H$10</f>
        <v>0</v>
      </c>
      <c r="I88" s="290">
        <f t="shared" si="69"/>
        <v>0</v>
      </c>
      <c r="J88" s="290">
        <f t="shared" si="69"/>
        <v>0</v>
      </c>
      <c r="K88" s="290">
        <f t="shared" si="69"/>
        <v>0</v>
      </c>
      <c r="R88" s="364">
        <f t="shared" si="48"/>
        <v>0</v>
      </c>
      <c r="S88" s="364">
        <f t="shared" si="67"/>
        <v>0</v>
      </c>
      <c r="T88" s="290">
        <f t="shared" ref="T88:V88" si="70">$G136*T$10</f>
        <v>0</v>
      </c>
      <c r="U88" s="290">
        <f t="shared" si="70"/>
        <v>0</v>
      </c>
      <c r="V88" s="290">
        <f t="shared" si="70"/>
        <v>0</v>
      </c>
      <c r="AA88" s="371"/>
      <c r="AB88" s="371"/>
    </row>
    <row r="89" spans="2:28" ht="15" customHeight="1" x14ac:dyDescent="0.2">
      <c r="B89" s="379" t="s">
        <v>8</v>
      </c>
      <c r="C89" s="362">
        <f>Model!N98</f>
        <v>275</v>
      </c>
      <c r="D89" s="362">
        <f>Model!O98</f>
        <v>288</v>
      </c>
      <c r="E89" s="362">
        <f>Model!P98</f>
        <v>278</v>
      </c>
      <c r="F89" s="362">
        <f>Model!Q98</f>
        <v>245</v>
      </c>
      <c r="G89" s="290">
        <f>$G137*G$11</f>
        <v>246.744</v>
      </c>
      <c r="H89" s="290">
        <f t="shared" ref="H89:K89" si="71">$G137*H$11</f>
        <v>251</v>
      </c>
      <c r="I89" s="290">
        <f t="shared" si="71"/>
        <v>252.333</v>
      </c>
      <c r="J89" s="290">
        <f t="shared" si="71"/>
        <v>250</v>
      </c>
      <c r="K89" s="290">
        <f t="shared" si="71"/>
        <v>272.66699999999997</v>
      </c>
      <c r="R89" s="364">
        <f t="shared" si="48"/>
        <v>1057.7439999999999</v>
      </c>
      <c r="S89" s="364">
        <f t="shared" si="67"/>
        <v>1026</v>
      </c>
      <c r="T89" s="290">
        <f t="shared" ref="T89:V89" si="72">$G137*T$11</f>
        <v>1132</v>
      </c>
      <c r="U89" s="290">
        <f t="shared" si="72"/>
        <v>1125.67</v>
      </c>
      <c r="V89" s="290">
        <f t="shared" si="72"/>
        <v>1178</v>
      </c>
    </row>
    <row r="90" spans="2:28" ht="15" customHeight="1" x14ac:dyDescent="0.2">
      <c r="B90" s="378" t="s">
        <v>4</v>
      </c>
      <c r="G90" s="290"/>
      <c r="H90" s="290"/>
      <c r="I90" s="290"/>
      <c r="J90" s="290"/>
      <c r="K90" s="290"/>
      <c r="T90" s="290"/>
      <c r="U90" s="290"/>
      <c r="V90" s="290"/>
    </row>
    <row r="91" spans="2:28" ht="15" customHeight="1" x14ac:dyDescent="0.2">
      <c r="B91" s="379" t="s">
        <v>5</v>
      </c>
      <c r="C91" s="362">
        <f>Model!N111</f>
        <v>210</v>
      </c>
      <c r="D91" s="362">
        <f>Model!O111</f>
        <v>208</v>
      </c>
      <c r="E91" s="362">
        <f>Model!P111</f>
        <v>213</v>
      </c>
      <c r="F91" s="362">
        <f>Model!Q111</f>
        <v>222</v>
      </c>
      <c r="G91" s="290">
        <f>$G139*G$8</f>
        <v>226.10876190476191</v>
      </c>
      <c r="H91" s="290">
        <f t="shared" ref="H91:K91" si="73">$G139*H$8</f>
        <v>226.63968253968252</v>
      </c>
      <c r="I91" s="290">
        <f t="shared" si="73"/>
        <v>237.0936507936508</v>
      </c>
      <c r="J91" s="290">
        <f t="shared" si="73"/>
        <v>240.14761904761906</v>
      </c>
      <c r="K91" s="290">
        <f t="shared" si="73"/>
        <v>248.13492063492063</v>
      </c>
      <c r="R91" s="364">
        <f t="shared" si="48"/>
        <v>869.10876190476188</v>
      </c>
      <c r="S91" s="364">
        <f>SUM(H91:K91)</f>
        <v>952.01587301587301</v>
      </c>
      <c r="T91" s="290">
        <f t="shared" ref="T91:V91" si="74">$G139*T$8</f>
        <v>1093.3535238095239</v>
      </c>
      <c r="U91" s="290">
        <f t="shared" si="74"/>
        <v>1164.0904761904762</v>
      </c>
      <c r="V91" s="290">
        <f t="shared" si="74"/>
        <v>1347.5047619047618</v>
      </c>
      <c r="AA91" s="371"/>
      <c r="AB91" s="371"/>
    </row>
    <row r="92" spans="2:28" ht="15" customHeight="1" x14ac:dyDescent="0.2">
      <c r="B92" s="379" t="s">
        <v>6</v>
      </c>
      <c r="C92" s="362">
        <f>Model!N113</f>
        <v>28</v>
      </c>
      <c r="D92" s="362">
        <f>Model!O113</f>
        <v>40</v>
      </c>
      <c r="E92" s="362">
        <f>Model!P113</f>
        <v>38</v>
      </c>
      <c r="F92" s="362">
        <f>Model!Q113</f>
        <v>39</v>
      </c>
      <c r="G92" s="290">
        <f>$G140*G$9</f>
        <v>38.944285714285712</v>
      </c>
      <c r="H92" s="290">
        <f t="shared" ref="H92:K92" si="75">$G140*H$9</f>
        <v>40.716198979591837</v>
      </c>
      <c r="I92" s="290">
        <f t="shared" si="75"/>
        <v>41.512117346938773</v>
      </c>
      <c r="J92" s="290">
        <f t="shared" si="75"/>
        <v>41.536989795918366</v>
      </c>
      <c r="K92" s="290">
        <f t="shared" si="75"/>
        <v>42.780612244897959</v>
      </c>
      <c r="R92" s="364">
        <f t="shared" si="48"/>
        <v>155.94428571428571</v>
      </c>
      <c r="S92" s="364">
        <f t="shared" ref="S92:S94" si="76">SUM(H92:K92)</f>
        <v>166.54591836734693</v>
      </c>
      <c r="T92" s="290">
        <f t="shared" ref="T92:V92" si="77">$G140*T$9</f>
        <v>187.72331632653061</v>
      </c>
      <c r="U92" s="290">
        <f t="shared" si="77"/>
        <v>201.51658163265307</v>
      </c>
      <c r="V92" s="290">
        <f t="shared" si="77"/>
        <v>220.96683673469389</v>
      </c>
      <c r="AA92" s="371"/>
      <c r="AB92" s="371"/>
    </row>
    <row r="93" spans="2:28" ht="15" customHeight="1" x14ac:dyDescent="0.2">
      <c r="B93" s="379" t="s">
        <v>7</v>
      </c>
      <c r="C93" s="362">
        <f>Model!N115</f>
        <v>20</v>
      </c>
      <c r="D93" s="362">
        <f>Model!O115</f>
        <v>14</v>
      </c>
      <c r="E93" s="362">
        <f>Model!P115</f>
        <v>14</v>
      </c>
      <c r="F93" s="362">
        <f>Model!Q115</f>
        <v>13</v>
      </c>
      <c r="G93" s="290">
        <f>$G141*G$10</f>
        <v>13.624822134387353</v>
      </c>
      <c r="H93" s="290">
        <f t="shared" ref="H93:K93" si="78">$G141*H$10</f>
        <v>13.873517786561266</v>
      </c>
      <c r="I93" s="290">
        <f t="shared" si="78"/>
        <v>14.464426877470355</v>
      </c>
      <c r="J93" s="290">
        <f t="shared" si="78"/>
        <v>14.258893280632412</v>
      </c>
      <c r="K93" s="290">
        <f t="shared" si="78"/>
        <v>15.068181818181818</v>
      </c>
      <c r="R93" s="364">
        <f t="shared" si="48"/>
        <v>54.624822134387351</v>
      </c>
      <c r="S93" s="364">
        <f t="shared" si="76"/>
        <v>57.665019762845851</v>
      </c>
      <c r="T93" s="290">
        <f t="shared" ref="T93:V93" si="79">$G141*T$10</f>
        <v>64.794466403162062</v>
      </c>
      <c r="U93" s="290">
        <f t="shared" si="79"/>
        <v>69.059288537549406</v>
      </c>
      <c r="V93" s="290">
        <f t="shared" si="79"/>
        <v>75.841897233201578</v>
      </c>
      <c r="AA93" s="371"/>
      <c r="AB93" s="371"/>
    </row>
    <row r="94" spans="2:28" ht="15" customHeight="1" x14ac:dyDescent="0.2">
      <c r="B94" s="379" t="s">
        <v>8</v>
      </c>
      <c r="C94" s="362">
        <f>Model!N117</f>
        <v>0</v>
      </c>
      <c r="D94" s="362">
        <f>Model!O117</f>
        <v>0</v>
      </c>
      <c r="E94" s="362">
        <f>Model!P117</f>
        <v>0</v>
      </c>
      <c r="F94" s="362">
        <f>Model!Q117</f>
        <v>0</v>
      </c>
      <c r="G94" s="290">
        <f>$G142*G$11</f>
        <v>0</v>
      </c>
      <c r="H94" s="290">
        <f t="shared" ref="H94:K94" si="80">$G142*H$11</f>
        <v>0</v>
      </c>
      <c r="I94" s="290">
        <f t="shared" si="80"/>
        <v>0</v>
      </c>
      <c r="J94" s="290">
        <f t="shared" si="80"/>
        <v>0</v>
      </c>
      <c r="K94" s="290">
        <f t="shared" si="80"/>
        <v>0</v>
      </c>
      <c r="R94" s="364">
        <f t="shared" si="48"/>
        <v>0</v>
      </c>
      <c r="S94" s="364">
        <f t="shared" si="76"/>
        <v>0</v>
      </c>
      <c r="T94" s="290">
        <f t="shared" ref="T94:V94" si="81">$G142*T$11</f>
        <v>0</v>
      </c>
      <c r="U94" s="290">
        <f t="shared" si="81"/>
        <v>0</v>
      </c>
      <c r="V94" s="290">
        <f t="shared" si="81"/>
        <v>0</v>
      </c>
    </row>
    <row r="95" spans="2:28" ht="15" customHeight="1" x14ac:dyDescent="0.2">
      <c r="B95" s="378"/>
    </row>
    <row r="96" spans="2:28" ht="15" customHeight="1" x14ac:dyDescent="0.2">
      <c r="B96" s="378" t="s">
        <v>14</v>
      </c>
      <c r="C96" s="350">
        <f>SUM(C76:C94)</f>
        <v>1731</v>
      </c>
      <c r="D96" s="350">
        <f>SUM(D76:D94)</f>
        <v>1824</v>
      </c>
      <c r="E96" s="350">
        <f>SUM(E76:E94)</f>
        <v>1880</v>
      </c>
      <c r="F96" s="350">
        <f>SUM(F76:F94)</f>
        <v>1835</v>
      </c>
      <c r="G96" s="350">
        <f t="shared" ref="G96:K96" si="82">SUM(G76:G94)</f>
        <v>1865.8339999999998</v>
      </c>
      <c r="H96" s="350">
        <f t="shared" si="82"/>
        <v>1895</v>
      </c>
      <c r="I96" s="350">
        <f t="shared" si="82"/>
        <v>1960.3330000000003</v>
      </c>
      <c r="J96" s="350">
        <f t="shared" si="82"/>
        <v>1967.2500000000002</v>
      </c>
      <c r="K96" s="350">
        <f t="shared" si="82"/>
        <v>2052.1670000000004</v>
      </c>
      <c r="R96" s="290">
        <f t="shared" ref="R96:V96" si="83">SUM(R76:R94)</f>
        <v>7404.8340000000017</v>
      </c>
      <c r="S96" s="290">
        <f t="shared" si="83"/>
        <v>7874.7499999999991</v>
      </c>
      <c r="T96" s="290">
        <f t="shared" si="83"/>
        <v>8934</v>
      </c>
      <c r="U96" s="290">
        <f t="shared" si="83"/>
        <v>9450.4200000000019</v>
      </c>
      <c r="V96" s="290">
        <f t="shared" si="83"/>
        <v>10610.999999999998</v>
      </c>
    </row>
    <row r="97" spans="2:22" ht="15" customHeight="1" x14ac:dyDescent="0.2">
      <c r="B97" s="378"/>
      <c r="C97" s="378"/>
      <c r="R97" s="290"/>
      <c r="S97" s="290"/>
      <c r="T97" s="290"/>
      <c r="U97" s="290"/>
      <c r="V97" s="290"/>
    </row>
    <row r="98" spans="2:22" ht="15" customHeight="1" x14ac:dyDescent="0.2">
      <c r="B98" s="377" t="s">
        <v>199</v>
      </c>
      <c r="C98" s="377"/>
      <c r="D98" s="377"/>
      <c r="E98" s="377"/>
      <c r="F98" s="377"/>
      <c r="G98" s="377"/>
      <c r="H98" s="377"/>
      <c r="I98" s="377"/>
      <c r="J98" s="377"/>
      <c r="K98" s="377"/>
      <c r="L98" s="377"/>
      <c r="M98" s="377"/>
      <c r="N98" s="376"/>
      <c r="O98" s="376"/>
      <c r="P98" s="376"/>
      <c r="Q98" s="376"/>
      <c r="R98" s="391"/>
      <c r="S98" s="391"/>
      <c r="T98" s="391"/>
      <c r="U98" s="391"/>
      <c r="V98" s="391"/>
    </row>
    <row r="99" spans="2:22" ht="15" customHeight="1" x14ac:dyDescent="0.2">
      <c r="B99" s="378" t="s">
        <v>382</v>
      </c>
      <c r="C99" s="378"/>
    </row>
    <row r="100" spans="2:22" ht="15" customHeight="1" x14ac:dyDescent="0.2">
      <c r="B100" s="379" t="s">
        <v>5</v>
      </c>
      <c r="C100" s="379"/>
      <c r="G100" s="367">
        <f>G76/C76-1</f>
        <v>0.14743299176210556</v>
      </c>
      <c r="H100" s="367">
        <f t="shared" ref="H100:K115" si="84">H76/D76-1</f>
        <v>0.10804942573235254</v>
      </c>
      <c r="I100" s="367">
        <f t="shared" si="84"/>
        <v>8.012566137566135E-2</v>
      </c>
      <c r="J100" s="367">
        <f t="shared" si="84"/>
        <v>8.1746031746031678E-2</v>
      </c>
      <c r="K100" s="367">
        <f t="shared" si="84"/>
        <v>9.7413999106484406E-2</v>
      </c>
      <c r="S100" s="367">
        <f>S76/R76-1</f>
        <v>9.1568913560368559E-2</v>
      </c>
      <c r="T100" s="367">
        <f t="shared" ref="T100:V100" si="85">T76/S76-1</f>
        <v>0.14846144355336199</v>
      </c>
      <c r="U100" s="367">
        <f t="shared" si="85"/>
        <v>6.4697237298405152E-2</v>
      </c>
      <c r="V100" s="367">
        <f t="shared" si="85"/>
        <v>0.15756016346299373</v>
      </c>
    </row>
    <row r="101" spans="2:22" ht="15" customHeight="1" x14ac:dyDescent="0.2">
      <c r="B101" s="379" t="s">
        <v>6</v>
      </c>
      <c r="C101" s="379"/>
      <c r="G101" s="367">
        <f t="shared" ref="G101:G117" si="86">G77/C77-1</f>
        <v>7.775330396475777E-2</v>
      </c>
      <c r="H101" s="367">
        <f t="shared" si="84"/>
        <v>4.8283811475409832E-2</v>
      </c>
      <c r="I101" s="367">
        <f t="shared" si="84"/>
        <v>3.8969123505976144E-2</v>
      </c>
      <c r="J101" s="367">
        <f t="shared" si="84"/>
        <v>6.5051020408163351E-2</v>
      </c>
      <c r="K101" s="367">
        <f t="shared" si="84"/>
        <v>9.8508072756999798E-2</v>
      </c>
      <c r="S101" s="367">
        <f t="shared" ref="S101:V101" si="87">S77/R77-1</f>
        <v>6.2560300614431519E-2</v>
      </c>
      <c r="T101" s="367">
        <f t="shared" si="87"/>
        <v>0.12715651135005968</v>
      </c>
      <c r="U101" s="367">
        <f t="shared" si="87"/>
        <v>7.3476569538810654E-2</v>
      </c>
      <c r="V101" s="367">
        <f t="shared" si="87"/>
        <v>9.6519377931374883E-2</v>
      </c>
    </row>
    <row r="102" spans="2:22" ht="15" customHeight="1" x14ac:dyDescent="0.2">
      <c r="B102" s="379" t="s">
        <v>7</v>
      </c>
      <c r="C102" s="379"/>
      <c r="G102" s="367">
        <f t="shared" si="86"/>
        <v>4.8063241106719445E-2</v>
      </c>
      <c r="H102" s="367">
        <f t="shared" si="84"/>
        <v>1.7168972332015864E-2</v>
      </c>
      <c r="I102" s="367">
        <f t="shared" si="84"/>
        <v>1.8073122529644436E-2</v>
      </c>
      <c r="J102" s="367">
        <f t="shared" si="84"/>
        <v>9.6837944664031728E-2</v>
      </c>
      <c r="K102" s="367">
        <f t="shared" si="84"/>
        <v>0.10593603861819267</v>
      </c>
      <c r="S102" s="367">
        <f t="shared" ref="S102:V102" si="88">S78/R78-1</f>
        <v>5.8621196944648402E-2</v>
      </c>
      <c r="T102" s="367">
        <f t="shared" si="88"/>
        <v>0.12363555357540656</v>
      </c>
      <c r="U102" s="367">
        <f t="shared" si="88"/>
        <v>6.5820777160983335E-2</v>
      </c>
      <c r="V102" s="367">
        <f t="shared" si="88"/>
        <v>9.8214285714285587E-2</v>
      </c>
    </row>
    <row r="103" spans="2:22" ht="15" customHeight="1" x14ac:dyDescent="0.2">
      <c r="B103" s="379" t="s">
        <v>8</v>
      </c>
      <c r="C103" s="379"/>
      <c r="G103" s="367"/>
      <c r="H103" s="367"/>
      <c r="I103" s="367"/>
      <c r="J103" s="367"/>
      <c r="K103" s="367"/>
      <c r="S103" s="367"/>
      <c r="T103" s="367"/>
      <c r="U103" s="367"/>
      <c r="V103" s="367"/>
    </row>
    <row r="104" spans="2:22" ht="15" customHeight="1" x14ac:dyDescent="0.2">
      <c r="B104" s="378" t="s">
        <v>382</v>
      </c>
      <c r="C104" s="378"/>
      <c r="G104" s="367"/>
      <c r="H104" s="367"/>
      <c r="I104" s="367"/>
      <c r="J104" s="367"/>
      <c r="K104" s="367"/>
      <c r="S104" s="367"/>
      <c r="T104" s="367"/>
      <c r="U104" s="367"/>
      <c r="V104" s="367"/>
    </row>
    <row r="105" spans="2:22" ht="15" customHeight="1" x14ac:dyDescent="0.2">
      <c r="B105" s="379" t="s">
        <v>5</v>
      </c>
      <c r="C105" s="379"/>
      <c r="G105" s="367">
        <f t="shared" si="86"/>
        <v>0.14582142857142877</v>
      </c>
      <c r="H105" s="367">
        <f t="shared" si="84"/>
        <v>4.2972972972973089E-2</v>
      </c>
      <c r="I105" s="367">
        <f t="shared" si="84"/>
        <v>5.1302083333333526E-2</v>
      </c>
      <c r="J105" s="367">
        <f t="shared" si="84"/>
        <v>8.17460317460319E-2</v>
      </c>
      <c r="K105" s="367">
        <f t="shared" si="84"/>
        <v>9.7413999106484184E-2</v>
      </c>
      <c r="S105" s="367">
        <f t="shared" ref="S105:V105" si="89">S81/R81-1</f>
        <v>6.8559178798098364E-2</v>
      </c>
      <c r="T105" s="367">
        <f t="shared" si="89"/>
        <v>0.14846144355336199</v>
      </c>
      <c r="U105" s="367">
        <f t="shared" si="89"/>
        <v>6.4697237298405152E-2</v>
      </c>
      <c r="V105" s="367">
        <f t="shared" si="89"/>
        <v>0.15756016346299373</v>
      </c>
    </row>
    <row r="106" spans="2:22" ht="15" customHeight="1" x14ac:dyDescent="0.2">
      <c r="B106" s="379" t="s">
        <v>6</v>
      </c>
      <c r="C106" s="379"/>
      <c r="G106" s="367">
        <f t="shared" si="86"/>
        <v>2.2346938775510194E-2</v>
      </c>
      <c r="H106" s="367">
        <f t="shared" si="84"/>
        <v>0.15108254840397684</v>
      </c>
      <c r="I106" s="367">
        <f t="shared" si="84"/>
        <v>0.23702082184225026</v>
      </c>
      <c r="J106" s="367">
        <f t="shared" si="84"/>
        <v>6.5051020408163129E-2</v>
      </c>
      <c r="K106" s="367">
        <f t="shared" si="84"/>
        <v>9.8508072756999798E-2</v>
      </c>
      <c r="S106" s="367">
        <f t="shared" ref="S106:V106" si="90">S82/R82-1</f>
        <v>0.1339333760975121</v>
      </c>
      <c r="T106" s="367">
        <f t="shared" si="90"/>
        <v>0.12715651135005968</v>
      </c>
      <c r="U106" s="367">
        <f t="shared" si="90"/>
        <v>7.3476569538810654E-2</v>
      </c>
      <c r="V106" s="367">
        <f t="shared" si="90"/>
        <v>9.6519377931374883E-2</v>
      </c>
    </row>
    <row r="107" spans="2:22" ht="15" customHeight="1" x14ac:dyDescent="0.2">
      <c r="B107" s="379" t="s">
        <v>7</v>
      </c>
      <c r="C107" s="379"/>
      <c r="G107" s="367">
        <f t="shared" si="86"/>
        <v>0.45706353031909797</v>
      </c>
      <c r="H107" s="367">
        <f t="shared" si="84"/>
        <v>8.6250705815923201E-2</v>
      </c>
      <c r="I107" s="367">
        <f t="shared" si="84"/>
        <v>3.9687682239357258E-2</v>
      </c>
      <c r="J107" s="367">
        <f t="shared" si="84"/>
        <v>9.6837944664031728E-2</v>
      </c>
      <c r="K107" s="367">
        <f t="shared" si="84"/>
        <v>0.10593603861819245</v>
      </c>
      <c r="S107" s="367">
        <f t="shared" ref="S107:V107" si="91">S83/R83-1</f>
        <v>8.171198922080114E-2</v>
      </c>
      <c r="T107" s="367">
        <f t="shared" si="91"/>
        <v>0.12363555357540634</v>
      </c>
      <c r="U107" s="367">
        <f t="shared" si="91"/>
        <v>6.5820777160983335E-2</v>
      </c>
      <c r="V107" s="367">
        <f t="shared" si="91"/>
        <v>9.8214285714285809E-2</v>
      </c>
    </row>
    <row r="108" spans="2:22" ht="15" customHeight="1" x14ac:dyDescent="0.2">
      <c r="B108" s="379" t="s">
        <v>8</v>
      </c>
      <c r="C108" s="379"/>
      <c r="G108" s="367"/>
      <c r="H108" s="367"/>
      <c r="I108" s="367"/>
      <c r="J108" s="367"/>
      <c r="K108" s="367"/>
      <c r="S108" s="367"/>
      <c r="T108" s="367"/>
      <c r="U108" s="367"/>
      <c r="V108" s="367"/>
    </row>
    <row r="109" spans="2:22" ht="15" customHeight="1" x14ac:dyDescent="0.2">
      <c r="B109" s="378" t="s">
        <v>384</v>
      </c>
      <c r="C109" s="378"/>
      <c r="G109" s="367"/>
      <c r="H109" s="367"/>
      <c r="I109" s="367"/>
      <c r="J109" s="367"/>
      <c r="K109" s="367"/>
      <c r="S109" s="367"/>
      <c r="T109" s="367"/>
      <c r="U109" s="367"/>
      <c r="V109" s="367"/>
    </row>
    <row r="110" spans="2:22" ht="15" customHeight="1" x14ac:dyDescent="0.2">
      <c r="B110" s="379" t="s">
        <v>5</v>
      </c>
      <c r="C110" s="379"/>
      <c r="G110" s="367"/>
      <c r="H110" s="367"/>
      <c r="I110" s="367"/>
      <c r="J110" s="367"/>
      <c r="K110" s="367"/>
      <c r="S110" s="367"/>
      <c r="T110" s="367"/>
      <c r="U110" s="367"/>
      <c r="V110" s="367"/>
    </row>
    <row r="111" spans="2:22" ht="15" customHeight="1" x14ac:dyDescent="0.2">
      <c r="B111" s="379" t="s">
        <v>6</v>
      </c>
      <c r="C111" s="379"/>
      <c r="G111" s="367">
        <f t="shared" si="86"/>
        <v>3.0272108843537371E-2</v>
      </c>
      <c r="H111" s="367">
        <f t="shared" si="84"/>
        <v>2.8186842918985766E-2</v>
      </c>
      <c r="I111" s="367">
        <f t="shared" si="84"/>
        <v>1.7453856542616997E-2</v>
      </c>
      <c r="J111" s="367">
        <f t="shared" si="84"/>
        <v>6.5051020408163129E-2</v>
      </c>
      <c r="K111" s="367">
        <f t="shared" si="84"/>
        <v>9.8508072756999798E-2</v>
      </c>
      <c r="S111" s="367">
        <f t="shared" ref="S111:V111" si="92">S87/R87-1</f>
        <v>5.1796202282033299E-2</v>
      </c>
      <c r="T111" s="367">
        <f t="shared" si="92"/>
        <v>0.12715651135005968</v>
      </c>
      <c r="U111" s="367">
        <f t="shared" si="92"/>
        <v>7.3476569538810432E-2</v>
      </c>
      <c r="V111" s="367">
        <f t="shared" si="92"/>
        <v>9.6519377931374883E-2</v>
      </c>
    </row>
    <row r="112" spans="2:22" ht="15" customHeight="1" x14ac:dyDescent="0.2">
      <c r="B112" s="379" t="s">
        <v>7</v>
      </c>
      <c r="C112" s="379"/>
      <c r="G112" s="367"/>
      <c r="H112" s="367"/>
      <c r="I112" s="367"/>
      <c r="J112" s="367"/>
      <c r="K112" s="367"/>
      <c r="S112" s="367"/>
      <c r="T112" s="367"/>
      <c r="U112" s="367"/>
      <c r="V112" s="367"/>
    </row>
    <row r="113" spans="2:22" ht="15" customHeight="1" x14ac:dyDescent="0.2">
      <c r="B113" s="379" t="s">
        <v>8</v>
      </c>
      <c r="C113" s="379"/>
      <c r="G113" s="367">
        <f t="shared" si="86"/>
        <v>-0.1027490909090909</v>
      </c>
      <c r="H113" s="367">
        <f t="shared" si="84"/>
        <v>-0.12847222222222221</v>
      </c>
      <c r="I113" s="367">
        <f t="shared" si="84"/>
        <v>-9.232733812949645E-2</v>
      </c>
      <c r="J113" s="367">
        <f t="shared" si="84"/>
        <v>2.0408163265306145E-2</v>
      </c>
      <c r="K113" s="367">
        <f t="shared" si="84"/>
        <v>0.10506030541776079</v>
      </c>
      <c r="S113" s="367">
        <f t="shared" ref="S113:V113" si="93">S89/R89-1</f>
        <v>-3.0011042369420093E-2</v>
      </c>
      <c r="T113" s="367">
        <f t="shared" si="93"/>
        <v>0.10331384015594547</v>
      </c>
      <c r="U113" s="367">
        <f t="shared" si="93"/>
        <v>-5.5918727915194033E-3</v>
      </c>
      <c r="V113" s="367">
        <f t="shared" si="93"/>
        <v>4.6487869446640628E-2</v>
      </c>
    </row>
    <row r="114" spans="2:22" ht="15" customHeight="1" x14ac:dyDescent="0.2">
      <c r="B114" s="378" t="s">
        <v>4</v>
      </c>
      <c r="C114" s="378"/>
      <c r="G114" s="367"/>
      <c r="H114" s="367"/>
      <c r="I114" s="367"/>
      <c r="J114" s="367"/>
      <c r="K114" s="367"/>
      <c r="S114" s="367"/>
      <c r="T114" s="367"/>
      <c r="U114" s="367"/>
      <c r="V114" s="367"/>
    </row>
    <row r="115" spans="2:22" ht="15" customHeight="1" x14ac:dyDescent="0.2">
      <c r="B115" s="379" t="s">
        <v>5</v>
      </c>
      <c r="C115" s="379"/>
      <c r="G115" s="367">
        <f t="shared" si="86"/>
        <v>7.670839002267571E-2</v>
      </c>
      <c r="H115" s="367">
        <f t="shared" si="84"/>
        <v>8.9613858363858379E-2</v>
      </c>
      <c r="I115" s="367">
        <f t="shared" si="84"/>
        <v>0.11311573142559062</v>
      </c>
      <c r="J115" s="367">
        <f t="shared" si="84"/>
        <v>8.17460317460319E-2</v>
      </c>
      <c r="K115" s="367">
        <f t="shared" si="84"/>
        <v>9.7413999106484184E-2</v>
      </c>
      <c r="S115" s="367">
        <f t="shared" ref="S115:V115" si="94">S91/R91-1</f>
        <v>9.5393251967003101E-2</v>
      </c>
      <c r="T115" s="367">
        <f t="shared" si="94"/>
        <v>0.14846144355336222</v>
      </c>
      <c r="U115" s="367">
        <f t="shared" si="94"/>
        <v>6.4697237298405152E-2</v>
      </c>
      <c r="V115" s="367">
        <f t="shared" si="94"/>
        <v>0.15756016346299373</v>
      </c>
    </row>
    <row r="116" spans="2:22" ht="15" customHeight="1" x14ac:dyDescent="0.2">
      <c r="B116" s="379" t="s">
        <v>6</v>
      </c>
      <c r="C116" s="379"/>
      <c r="G116" s="367">
        <f t="shared" si="86"/>
        <v>0.39086734693877534</v>
      </c>
      <c r="H116" s="367">
        <f t="shared" ref="H116:H117" si="95">H92/D92-1</f>
        <v>1.7904974489795888E-2</v>
      </c>
      <c r="I116" s="367">
        <f t="shared" ref="I116:I117" si="96">I92/E92-1</f>
        <v>9.2424140708915026E-2</v>
      </c>
      <c r="J116" s="367">
        <f t="shared" ref="J116:J117" si="97">J92/F92-1</f>
        <v>6.5051020408163129E-2</v>
      </c>
      <c r="K116" s="367">
        <f t="shared" ref="K116:K117" si="98">K92/G92-1</f>
        <v>9.8508072756999798E-2</v>
      </c>
      <c r="S116" s="367">
        <f t="shared" ref="S116:V116" si="99">S92/R92-1</f>
        <v>6.7983463481855688E-2</v>
      </c>
      <c r="T116" s="367">
        <f t="shared" si="99"/>
        <v>0.12715651135005968</v>
      </c>
      <c r="U116" s="367">
        <f t="shared" si="99"/>
        <v>7.3476569538810654E-2</v>
      </c>
      <c r="V116" s="367">
        <f t="shared" si="99"/>
        <v>9.6519377931374883E-2</v>
      </c>
    </row>
    <row r="117" spans="2:22" ht="15" customHeight="1" x14ac:dyDescent="0.2">
      <c r="B117" s="379" t="s">
        <v>7</v>
      </c>
      <c r="C117" s="379"/>
      <c r="G117" s="367">
        <f t="shared" si="86"/>
        <v>-0.31875889328063234</v>
      </c>
      <c r="H117" s="367">
        <f t="shared" si="95"/>
        <v>-9.0344438170524288E-3</v>
      </c>
      <c r="I117" s="367">
        <f t="shared" si="96"/>
        <v>3.317334839073971E-2</v>
      </c>
      <c r="J117" s="367">
        <f t="shared" si="97"/>
        <v>9.6837944664031728E-2</v>
      </c>
      <c r="K117" s="367">
        <f t="shared" si="98"/>
        <v>0.10593603861819267</v>
      </c>
      <c r="S117" s="367">
        <f t="shared" ref="S117:V117" si="100">S93/R93-1</f>
        <v>5.5655973047912921E-2</v>
      </c>
      <c r="T117" s="367">
        <f t="shared" si="100"/>
        <v>0.12363555357540656</v>
      </c>
      <c r="U117" s="367">
        <f t="shared" si="100"/>
        <v>6.5820777160983335E-2</v>
      </c>
      <c r="V117" s="367">
        <f t="shared" si="100"/>
        <v>9.8214285714285587E-2</v>
      </c>
    </row>
    <row r="118" spans="2:22" ht="15" customHeight="1" x14ac:dyDescent="0.2">
      <c r="B118" s="379" t="s">
        <v>8</v>
      </c>
      <c r="C118" s="379"/>
      <c r="G118" s="367"/>
      <c r="H118" s="367"/>
      <c r="I118" s="367"/>
      <c r="J118" s="367"/>
      <c r="K118" s="367"/>
      <c r="S118" s="367"/>
      <c r="T118" s="367"/>
      <c r="U118" s="367"/>
      <c r="V118" s="367"/>
    </row>
    <row r="121" spans="2:22" ht="15" customHeight="1" thickBot="1" x14ac:dyDescent="0.25"/>
    <row r="122" spans="2:22" ht="15" customHeight="1" x14ac:dyDescent="0.2">
      <c r="B122" s="388" t="s">
        <v>503</v>
      </c>
      <c r="C122" s="394"/>
      <c r="D122" s="387"/>
      <c r="E122" s="389"/>
      <c r="F122" s="390"/>
    </row>
    <row r="123" spans="2:22" ht="15" customHeight="1" x14ac:dyDescent="0.2">
      <c r="B123" s="380" t="s">
        <v>382</v>
      </c>
      <c r="C123" s="378"/>
      <c r="F123" s="381"/>
    </row>
    <row r="124" spans="2:22" ht="15" customHeight="1" x14ac:dyDescent="0.2">
      <c r="B124" s="382" t="s">
        <v>5</v>
      </c>
      <c r="C124" s="379"/>
      <c r="E124" s="392">
        <f>E76/$E$96</f>
        <v>0.28085106382978725</v>
      </c>
      <c r="F124" s="383">
        <f>F76/$F$96</f>
        <v>0.291008174386921</v>
      </c>
      <c r="G124" s="367">
        <f>F76/$F$38</f>
        <v>0.56507936507936507</v>
      </c>
    </row>
    <row r="125" spans="2:22" ht="15" customHeight="1" x14ac:dyDescent="0.2">
      <c r="B125" s="382" t="s">
        <v>6</v>
      </c>
      <c r="C125" s="379"/>
      <c r="E125" s="392">
        <f>E77/$E$96</f>
        <v>0.13351063829787235</v>
      </c>
      <c r="F125" s="383">
        <f>F77/$F$96</f>
        <v>0.1335149863760218</v>
      </c>
      <c r="G125" s="367">
        <f>F77/$F$39</f>
        <v>0.625</v>
      </c>
    </row>
    <row r="126" spans="2:22" ht="15" customHeight="1" x14ac:dyDescent="0.2">
      <c r="B126" s="382" t="s">
        <v>7</v>
      </c>
      <c r="C126" s="379"/>
      <c r="E126" s="392">
        <f>E78/$E$96</f>
        <v>0.10638297872340426</v>
      </c>
      <c r="F126" s="383">
        <f>F78/$F$96</f>
        <v>9.9727520435967304E-2</v>
      </c>
      <c r="G126" s="367">
        <f>F78/$F$40</f>
        <v>0.72332015810276684</v>
      </c>
    </row>
    <row r="127" spans="2:22" ht="15" customHeight="1" x14ac:dyDescent="0.2">
      <c r="B127" s="382" t="s">
        <v>8</v>
      </c>
      <c r="C127" s="379"/>
      <c r="E127" s="392">
        <f>E79/$E$96</f>
        <v>0</v>
      </c>
      <c r="F127" s="383">
        <f>F79/$F$96</f>
        <v>0</v>
      </c>
      <c r="G127" s="367">
        <f>F79/$F$41</f>
        <v>0</v>
      </c>
    </row>
    <row r="128" spans="2:22" ht="15" customHeight="1" x14ac:dyDescent="0.2">
      <c r="B128" s="380" t="s">
        <v>382</v>
      </c>
      <c r="C128" s="378"/>
      <c r="F128" s="381"/>
    </row>
    <row r="129" spans="2:7" ht="15" customHeight="1" x14ac:dyDescent="0.2">
      <c r="B129" s="382" t="s">
        <v>5</v>
      </c>
      <c r="C129" s="379"/>
      <c r="E129" s="392">
        <f>E81/$E$96</f>
        <v>0.10212765957446808</v>
      </c>
      <c r="F129" s="383">
        <f>F81/$F$96</f>
        <v>0.10299727520435967</v>
      </c>
      <c r="G129" s="367">
        <f>F81/$F$38</f>
        <v>0.2</v>
      </c>
    </row>
    <row r="130" spans="2:7" ht="15" customHeight="1" x14ac:dyDescent="0.2">
      <c r="B130" s="382" t="s">
        <v>6</v>
      </c>
      <c r="C130" s="379"/>
      <c r="E130" s="392">
        <f>E82/$E$96</f>
        <v>1.9680851063829788E-2</v>
      </c>
      <c r="F130" s="383">
        <f>F82/$F$96</f>
        <v>2.3433242506811988E-2</v>
      </c>
      <c r="G130" s="367">
        <f>F82/$F$39</f>
        <v>0.10969387755102041</v>
      </c>
    </row>
    <row r="131" spans="2:7" ht="15" customHeight="1" x14ac:dyDescent="0.2">
      <c r="B131" s="382" t="s">
        <v>7</v>
      </c>
      <c r="C131" s="379"/>
      <c r="E131" s="392">
        <f>E83/$E$96</f>
        <v>3.2446808510638296E-2</v>
      </c>
      <c r="F131" s="383">
        <f>F83/$F$96</f>
        <v>3.1062670299727521E-2</v>
      </c>
      <c r="G131" s="367">
        <f>F83/$F$40</f>
        <v>0.22529644268774704</v>
      </c>
    </row>
    <row r="132" spans="2:7" ht="15" customHeight="1" x14ac:dyDescent="0.2">
      <c r="B132" s="382" t="s">
        <v>8</v>
      </c>
      <c r="C132" s="379"/>
      <c r="E132" s="392">
        <f>E84/$E$96</f>
        <v>0</v>
      </c>
      <c r="F132" s="383">
        <f>F84/$F$96</f>
        <v>0</v>
      </c>
      <c r="G132" s="367">
        <f>F84/$F$41</f>
        <v>0</v>
      </c>
    </row>
    <row r="133" spans="2:7" ht="15" customHeight="1" x14ac:dyDescent="0.2">
      <c r="B133" s="380" t="s">
        <v>384</v>
      </c>
      <c r="C133" s="378"/>
      <c r="F133" s="381"/>
    </row>
    <row r="134" spans="2:7" ht="15" customHeight="1" x14ac:dyDescent="0.2">
      <c r="B134" s="382" t="s">
        <v>5</v>
      </c>
      <c r="C134" s="379"/>
      <c r="E134" s="392">
        <f>E86/$E$96</f>
        <v>0</v>
      </c>
      <c r="F134" s="383">
        <f>F86/$F$96</f>
        <v>0</v>
      </c>
      <c r="G134" s="367">
        <f>F86/$F$38</f>
        <v>0</v>
      </c>
    </row>
    <row r="135" spans="2:7" ht="15" customHeight="1" x14ac:dyDescent="0.2">
      <c r="B135" s="382" t="s">
        <v>6</v>
      </c>
      <c r="C135" s="379"/>
      <c r="E135" s="392">
        <f>E87/$E$96</f>
        <v>3.6170212765957444E-2</v>
      </c>
      <c r="F135" s="383">
        <f>F87/$F$96</f>
        <v>3.5422343324250684E-2</v>
      </c>
      <c r="G135" s="367">
        <f>F87/$F$39</f>
        <v>0.16581632653061223</v>
      </c>
    </row>
    <row r="136" spans="2:7" ht="15" customHeight="1" x14ac:dyDescent="0.2">
      <c r="B136" s="382" t="s">
        <v>7</v>
      </c>
      <c r="C136" s="379"/>
      <c r="E136" s="392">
        <f>E88/$E$96</f>
        <v>0</v>
      </c>
      <c r="F136" s="383">
        <f>F88/$F$96</f>
        <v>0</v>
      </c>
      <c r="G136" s="367">
        <f>F88/$F$40</f>
        <v>0</v>
      </c>
    </row>
    <row r="137" spans="2:7" ht="15" customHeight="1" x14ac:dyDescent="0.2">
      <c r="B137" s="382" t="s">
        <v>8</v>
      </c>
      <c r="C137" s="379"/>
      <c r="E137" s="392">
        <f>E89/$E$96</f>
        <v>0.14787234042553191</v>
      </c>
      <c r="F137" s="383">
        <f>F89/$F$96</f>
        <v>0.1335149863760218</v>
      </c>
      <c r="G137" s="367">
        <f>F89/$F$41</f>
        <v>1</v>
      </c>
    </row>
    <row r="138" spans="2:7" ht="15" customHeight="1" x14ac:dyDescent="0.2">
      <c r="B138" s="380" t="s">
        <v>4</v>
      </c>
      <c r="C138" s="378"/>
      <c r="F138" s="381"/>
    </row>
    <row r="139" spans="2:7" ht="15" customHeight="1" x14ac:dyDescent="0.2">
      <c r="B139" s="382" t="s">
        <v>5</v>
      </c>
      <c r="C139" s="379"/>
      <c r="E139" s="392">
        <f>E91/$E$96</f>
        <v>0.11329787234042553</v>
      </c>
      <c r="F139" s="383">
        <f>F91/$F$96</f>
        <v>0.12098092643051771</v>
      </c>
      <c r="G139" s="367">
        <f>F91/$F$38</f>
        <v>0.23492063492063492</v>
      </c>
    </row>
    <row r="140" spans="2:7" ht="15" customHeight="1" x14ac:dyDescent="0.2">
      <c r="B140" s="382" t="s">
        <v>6</v>
      </c>
      <c r="C140" s="379"/>
      <c r="E140" s="392">
        <f>E92/$E$96</f>
        <v>2.021276595744681E-2</v>
      </c>
      <c r="F140" s="383">
        <f>F92/$F$96</f>
        <v>2.125340599455041E-2</v>
      </c>
      <c r="G140" s="367">
        <f>F92/$F$39</f>
        <v>9.9489795918367346E-2</v>
      </c>
    </row>
    <row r="141" spans="2:7" ht="15" customHeight="1" x14ac:dyDescent="0.2">
      <c r="B141" s="382" t="s">
        <v>7</v>
      </c>
      <c r="C141" s="379"/>
      <c r="E141" s="392">
        <f>E93/$E$96</f>
        <v>7.4468085106382982E-3</v>
      </c>
      <c r="F141" s="383">
        <f>F93/$F$96</f>
        <v>7.0844686648501359E-3</v>
      </c>
      <c r="G141" s="367">
        <f>F93/$F$40</f>
        <v>5.1383399209486168E-2</v>
      </c>
    </row>
    <row r="142" spans="2:7" ht="15" customHeight="1" thickBot="1" x14ac:dyDescent="0.25">
      <c r="B142" s="384" t="s">
        <v>8</v>
      </c>
      <c r="C142" s="395"/>
      <c r="D142" s="385"/>
      <c r="E142" s="393">
        <f>E94/$E$96</f>
        <v>0</v>
      </c>
      <c r="F142" s="386">
        <f>F94/$F$96</f>
        <v>0</v>
      </c>
      <c r="G142" s="367">
        <f>F94/$F$41</f>
        <v>0</v>
      </c>
    </row>
  </sheetData>
  <pageMargins left="0.75" right="0.75" top="1" bottom="1" header="0.5" footer="0.5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B2865-82B7-43D3-AE32-77059CE90AB1}">
  <sheetPr>
    <tabColor theme="3"/>
  </sheetPr>
  <dimension ref="C3:U29"/>
  <sheetViews>
    <sheetView workbookViewId="0">
      <selection activeCell="B4" sqref="B4"/>
    </sheetView>
  </sheetViews>
  <sheetFormatPr defaultRowHeight="15" x14ac:dyDescent="0.25"/>
  <cols>
    <col min="3" max="3" width="11.28515625" bestFit="1" customWidth="1"/>
  </cols>
  <sheetData>
    <row r="3" spans="3:21" x14ac:dyDescent="0.25">
      <c r="D3">
        <v>2012</v>
      </c>
      <c r="G3">
        <v>2010</v>
      </c>
      <c r="H3">
        <v>2011</v>
      </c>
      <c r="I3">
        <f>H3+1</f>
        <v>2012</v>
      </c>
      <c r="J3">
        <f>I3+1</f>
        <v>2013</v>
      </c>
      <c r="K3">
        <v>2014</v>
      </c>
      <c r="L3">
        <v>2015</v>
      </c>
      <c r="M3">
        <v>2016</v>
      </c>
      <c r="N3">
        <v>2017</v>
      </c>
      <c r="O3">
        <v>2018</v>
      </c>
      <c r="P3">
        <v>2019</v>
      </c>
      <c r="Q3">
        <v>2020</v>
      </c>
      <c r="R3">
        <v>2021</v>
      </c>
      <c r="S3">
        <f>R3+1</f>
        <v>2022</v>
      </c>
      <c r="T3">
        <f t="shared" ref="T3:U3" si="0">S3+1</f>
        <v>2023</v>
      </c>
      <c r="U3">
        <f t="shared" si="0"/>
        <v>2024</v>
      </c>
    </row>
    <row r="4" spans="3:21" x14ac:dyDescent="0.25">
      <c r="C4" t="s">
        <v>295</v>
      </c>
      <c r="L4">
        <v>2991</v>
      </c>
      <c r="M4">
        <v>2967</v>
      </c>
      <c r="N4">
        <v>3271</v>
      </c>
    </row>
    <row r="5" spans="3:21" x14ac:dyDescent="0.25">
      <c r="C5" t="s">
        <v>431</v>
      </c>
      <c r="L5">
        <v>2437</v>
      </c>
      <c r="M5">
        <v>2375</v>
      </c>
      <c r="N5">
        <v>2656</v>
      </c>
    </row>
    <row r="7" spans="3:21" x14ac:dyDescent="0.25">
      <c r="C7" t="s">
        <v>223</v>
      </c>
      <c r="L7">
        <f>L4-L5</f>
        <v>554</v>
      </c>
      <c r="M7">
        <f>M4-M5</f>
        <v>592</v>
      </c>
      <c r="N7">
        <f>N4-N5</f>
        <v>615</v>
      </c>
      <c r="R7">
        <v>1376</v>
      </c>
      <c r="S7">
        <v>1560</v>
      </c>
      <c r="T7">
        <v>1867</v>
      </c>
      <c r="U7">
        <v>2330.1114967204512</v>
      </c>
    </row>
    <row r="8" spans="3:21" x14ac:dyDescent="0.25">
      <c r="L8" s="228">
        <f>L7/L4</f>
        <v>0.18522233366766969</v>
      </c>
      <c r="M8" s="228">
        <f>M7/M4</f>
        <v>0.19952814290529153</v>
      </c>
      <c r="N8" s="228">
        <f>N7/N4</f>
        <v>0.18801589727911955</v>
      </c>
      <c r="P8" s="224">
        <v>0.22</v>
      </c>
      <c r="R8">
        <v>0.27674979887369267</v>
      </c>
      <c r="S8">
        <v>0.27547236447112838</v>
      </c>
      <c r="T8">
        <v>0.2811746987951807</v>
      </c>
      <c r="U8">
        <v>0.30975976976569308</v>
      </c>
    </row>
    <row r="11" spans="3:21" x14ac:dyDescent="0.25">
      <c r="E11" t="s">
        <v>432</v>
      </c>
      <c r="F11" t="s">
        <v>295</v>
      </c>
      <c r="P11">
        <v>2355.6999999999998</v>
      </c>
      <c r="U11">
        <v>456.5</v>
      </c>
    </row>
    <row r="12" spans="3:21" x14ac:dyDescent="0.25">
      <c r="F12" t="s">
        <v>431</v>
      </c>
      <c r="P12">
        <v>1715.3</v>
      </c>
      <c r="U12">
        <v>350</v>
      </c>
    </row>
    <row r="13" spans="3:21" x14ac:dyDescent="0.25">
      <c r="F13" t="s">
        <v>433</v>
      </c>
      <c r="P13">
        <f>P11-P12</f>
        <v>640.39999999999986</v>
      </c>
      <c r="U13">
        <f>U11-U12</f>
        <v>106.5</v>
      </c>
    </row>
    <row r="14" spans="3:21" x14ac:dyDescent="0.25">
      <c r="P14" s="228">
        <f>P13/P11</f>
        <v>0.27185125440421104</v>
      </c>
      <c r="U14" s="228">
        <f>U13/U11</f>
        <v>0.23329682365826945</v>
      </c>
    </row>
    <row r="16" spans="3:21" x14ac:dyDescent="0.25">
      <c r="E16" t="s">
        <v>351</v>
      </c>
      <c r="F16" t="s">
        <v>295</v>
      </c>
      <c r="G16">
        <v>827654</v>
      </c>
      <c r="M16">
        <v>3171411</v>
      </c>
      <c r="P16">
        <v>5223203</v>
      </c>
      <c r="U16">
        <v>7940</v>
      </c>
    </row>
    <row r="17" spans="5:21" x14ac:dyDescent="0.25">
      <c r="F17" t="s">
        <v>431</v>
      </c>
      <c r="M17">
        <v>1443348</v>
      </c>
      <c r="P17">
        <v>2413932</v>
      </c>
      <c r="U17">
        <v>3268</v>
      </c>
    </row>
    <row r="18" spans="5:21" x14ac:dyDescent="0.25">
      <c r="F18" t="s">
        <v>433</v>
      </c>
      <c r="G18">
        <v>473066</v>
      </c>
      <c r="M18">
        <f>M16-M17</f>
        <v>1728063</v>
      </c>
      <c r="P18">
        <f>P16-P17</f>
        <v>2809271</v>
      </c>
      <c r="U18">
        <f>U16-U17</f>
        <v>4672</v>
      </c>
    </row>
    <row r="19" spans="5:21" x14ac:dyDescent="0.25">
      <c r="G19" s="228">
        <f>G18/G16</f>
        <v>0.57157459518107812</v>
      </c>
      <c r="M19" s="228">
        <f>M18/M16</f>
        <v>0.54488774870239143</v>
      </c>
      <c r="P19" s="228">
        <f>P18/P16</f>
        <v>0.5378444988640112</v>
      </c>
      <c r="U19" s="228">
        <f>U18/U16</f>
        <v>0.58841309823677579</v>
      </c>
    </row>
    <row r="21" spans="5:21" x14ac:dyDescent="0.25">
      <c r="E21" t="s">
        <v>434</v>
      </c>
      <c r="F21" t="s">
        <v>295</v>
      </c>
      <c r="P21">
        <v>14054</v>
      </c>
      <c r="R21">
        <v>11026</v>
      </c>
      <c r="U21">
        <v>11472</v>
      </c>
    </row>
    <row r="22" spans="5:21" x14ac:dyDescent="0.25">
      <c r="F22" t="s">
        <v>431</v>
      </c>
      <c r="P22">
        <v>9398</v>
      </c>
      <c r="R22">
        <v>7191</v>
      </c>
      <c r="U22">
        <v>7081</v>
      </c>
    </row>
    <row r="23" spans="5:21" x14ac:dyDescent="0.25">
      <c r="F23" t="s">
        <v>433</v>
      </c>
      <c r="P23">
        <f>P21-P22</f>
        <v>4656</v>
      </c>
      <c r="R23">
        <f>R21-R22</f>
        <v>3835</v>
      </c>
      <c r="U23">
        <f>U21-U22</f>
        <v>4391</v>
      </c>
    </row>
    <row r="24" spans="5:21" x14ac:dyDescent="0.25">
      <c r="P24" s="228">
        <f>P23/P21</f>
        <v>0.33129358189839192</v>
      </c>
      <c r="R24" s="228">
        <f>R23/R21</f>
        <v>0.34781425721023035</v>
      </c>
      <c r="U24" s="228">
        <f>U23/U21</f>
        <v>0.38275801952580196</v>
      </c>
    </row>
    <row r="26" spans="5:21" x14ac:dyDescent="0.25">
      <c r="E26" t="s">
        <v>435</v>
      </c>
      <c r="F26" t="s">
        <v>295</v>
      </c>
      <c r="U26">
        <v>21514</v>
      </c>
    </row>
    <row r="27" spans="5:21" x14ac:dyDescent="0.25">
      <c r="F27" t="s">
        <v>436</v>
      </c>
      <c r="U27">
        <v>11853</v>
      </c>
    </row>
    <row r="28" spans="5:21" x14ac:dyDescent="0.25">
      <c r="F28" t="s">
        <v>433</v>
      </c>
      <c r="U28">
        <f>U26-U27</f>
        <v>9661</v>
      </c>
    </row>
    <row r="29" spans="5:21" x14ac:dyDescent="0.25">
      <c r="U29" s="228">
        <f>U28/U26</f>
        <v>0.44905642837222276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28D8A-1952-4D26-B69E-B1F3ED874D22}">
  <sheetPr>
    <tabColor theme="3"/>
  </sheetPr>
  <dimension ref="B4:L29"/>
  <sheetViews>
    <sheetView showGridLines="0" zoomScale="121" zoomScaleNormal="85" workbookViewId="0">
      <selection activeCell="I32" sqref="I32"/>
    </sheetView>
  </sheetViews>
  <sheetFormatPr defaultRowHeight="12.75" x14ac:dyDescent="0.2"/>
  <cols>
    <col min="1" max="1" width="9.140625" style="287"/>
    <col min="2" max="2" width="46" style="287" bestFit="1" customWidth="1"/>
    <col min="3" max="3" width="8.28515625" style="287" bestFit="1" customWidth="1"/>
    <col min="4" max="4" width="13.5703125" style="287" bestFit="1" customWidth="1"/>
    <col min="5" max="6" width="8.28515625" style="287" bestFit="1" customWidth="1"/>
    <col min="7" max="10" width="9.42578125" style="287" bestFit="1" customWidth="1"/>
    <col min="11" max="11" width="9.140625" style="287"/>
    <col min="12" max="12" width="15.7109375" style="287" bestFit="1" customWidth="1"/>
    <col min="13" max="16384" width="9.140625" style="287"/>
  </cols>
  <sheetData>
    <row r="4" spans="2:12" x14ac:dyDescent="0.2">
      <c r="B4" s="285"/>
      <c r="C4" s="286">
        <v>2023</v>
      </c>
      <c r="D4" s="286">
        <v>2024</v>
      </c>
      <c r="E4" s="286">
        <f t="shared" ref="E4:J4" si="0">D4+1</f>
        <v>2025</v>
      </c>
      <c r="F4" s="286">
        <f t="shared" si="0"/>
        <v>2026</v>
      </c>
      <c r="G4" s="286">
        <f t="shared" si="0"/>
        <v>2027</v>
      </c>
      <c r="H4" s="286">
        <f t="shared" si="0"/>
        <v>2028</v>
      </c>
      <c r="I4" s="286">
        <f t="shared" si="0"/>
        <v>2029</v>
      </c>
      <c r="J4" s="286">
        <f t="shared" si="0"/>
        <v>2030</v>
      </c>
      <c r="L4" s="288" t="s">
        <v>308</v>
      </c>
    </row>
    <row r="5" spans="2:12" x14ac:dyDescent="0.2">
      <c r="B5" s="287" t="s">
        <v>380</v>
      </c>
      <c r="C5" s="289">
        <v>55000</v>
      </c>
      <c r="D5" s="290">
        <f>C5*(1+$L$5)</f>
        <v>67002.129729104665</v>
      </c>
      <c r="E5" s="290">
        <f t="shared" ref="E5:I5" si="1">D5*(1+$L$5)</f>
        <v>81623.370695195845</v>
      </c>
      <c r="F5" s="290">
        <f t="shared" si="1"/>
        <v>99435.266768114758</v>
      </c>
      <c r="G5" s="290">
        <f t="shared" si="1"/>
        <v>121134.08442991554</v>
      </c>
      <c r="H5" s="290">
        <f t="shared" si="1"/>
        <v>147568.02981071852</v>
      </c>
      <c r="I5" s="290">
        <f t="shared" si="1"/>
        <v>179770.40504083905</v>
      </c>
      <c r="J5" s="289">
        <v>219000</v>
      </c>
      <c r="L5" s="291">
        <f>RATE(7,,-C5,J5)</f>
        <v>0.21822054052917583</v>
      </c>
    </row>
    <row r="7" spans="2:12" x14ac:dyDescent="0.2">
      <c r="B7" s="287" t="s">
        <v>299</v>
      </c>
      <c r="C7" s="292"/>
      <c r="D7" s="293">
        <v>0</v>
      </c>
      <c r="E7" s="293">
        <v>0.1</v>
      </c>
      <c r="F7" s="293">
        <v>0.2</v>
      </c>
      <c r="G7" s="293">
        <v>0.4</v>
      </c>
      <c r="H7" s="293">
        <f>G7</f>
        <v>0.4</v>
      </c>
      <c r="I7" s="293">
        <f t="shared" ref="I7:J7" si="2">H7</f>
        <v>0.4</v>
      </c>
      <c r="J7" s="293">
        <f t="shared" si="2"/>
        <v>0.4</v>
      </c>
      <c r="L7" s="291"/>
    </row>
    <row r="9" spans="2:12" x14ac:dyDescent="0.2">
      <c r="B9" s="294" t="s">
        <v>300</v>
      </c>
      <c r="C9" s="294"/>
      <c r="D9" s="295">
        <f t="shared" ref="D9:J9" si="3">D7*D5</f>
        <v>0</v>
      </c>
      <c r="E9" s="295">
        <f>E7*E5</f>
        <v>8162.3370695195845</v>
      </c>
      <c r="F9" s="295">
        <f t="shared" si="3"/>
        <v>19887.053353622952</v>
      </c>
      <c r="G9" s="295">
        <f t="shared" si="3"/>
        <v>48453.633771966219</v>
      </c>
      <c r="H9" s="295">
        <f t="shared" si="3"/>
        <v>59027.211924287411</v>
      </c>
      <c r="I9" s="295">
        <f t="shared" si="3"/>
        <v>71908.162016335627</v>
      </c>
      <c r="J9" s="295">
        <f t="shared" si="3"/>
        <v>87600</v>
      </c>
    </row>
    <row r="11" spans="2:12" x14ac:dyDescent="0.2">
      <c r="B11" s="287" t="s">
        <v>303</v>
      </c>
      <c r="C11" s="292"/>
      <c r="D11" s="293">
        <v>0.5</v>
      </c>
      <c r="E11" s="293">
        <f>D11</f>
        <v>0.5</v>
      </c>
      <c r="F11" s="293">
        <f t="shared" ref="F11:J11" si="4">E11</f>
        <v>0.5</v>
      </c>
      <c r="G11" s="293">
        <f t="shared" si="4"/>
        <v>0.5</v>
      </c>
      <c r="H11" s="293">
        <f t="shared" si="4"/>
        <v>0.5</v>
      </c>
      <c r="I11" s="293">
        <f t="shared" si="4"/>
        <v>0.5</v>
      </c>
      <c r="J11" s="293">
        <f t="shared" si="4"/>
        <v>0.5</v>
      </c>
    </row>
    <row r="13" spans="2:12" x14ac:dyDescent="0.2">
      <c r="B13" s="294" t="s">
        <v>304</v>
      </c>
      <c r="C13" s="294"/>
      <c r="D13" s="295">
        <f t="shared" ref="D13:J13" si="5">D11*D9</f>
        <v>0</v>
      </c>
      <c r="E13" s="295">
        <f t="shared" si="5"/>
        <v>4081.1685347597922</v>
      </c>
      <c r="F13" s="295">
        <f t="shared" si="5"/>
        <v>9943.5266768114761</v>
      </c>
      <c r="G13" s="295">
        <f t="shared" si="5"/>
        <v>24226.816885983109</v>
      </c>
      <c r="H13" s="295">
        <f t="shared" si="5"/>
        <v>29513.605962143705</v>
      </c>
      <c r="I13" s="295">
        <f t="shared" si="5"/>
        <v>35954.081008167814</v>
      </c>
      <c r="J13" s="295">
        <f t="shared" si="5"/>
        <v>43800</v>
      </c>
    </row>
    <row r="15" spans="2:12" x14ac:dyDescent="0.2">
      <c r="B15" s="287" t="s">
        <v>301</v>
      </c>
      <c r="C15" s="292"/>
      <c r="D15" s="296">
        <v>20</v>
      </c>
      <c r="E15" s="296">
        <f>D15</f>
        <v>20</v>
      </c>
      <c r="F15" s="296">
        <f t="shared" ref="F15:G15" si="6">E15</f>
        <v>20</v>
      </c>
      <c r="G15" s="296">
        <f t="shared" si="6"/>
        <v>20</v>
      </c>
      <c r="H15" s="296">
        <f t="shared" ref="H15:J15" si="7">G15</f>
        <v>20</v>
      </c>
      <c r="I15" s="296">
        <f t="shared" si="7"/>
        <v>20</v>
      </c>
      <c r="J15" s="296">
        <f t="shared" si="7"/>
        <v>20</v>
      </c>
    </row>
    <row r="17" spans="2:10" x14ac:dyDescent="0.2">
      <c r="B17" s="294" t="s">
        <v>302</v>
      </c>
      <c r="C17" s="294"/>
      <c r="D17" s="295">
        <f>D13/D15</f>
        <v>0</v>
      </c>
      <c r="E17" s="295">
        <f t="shared" ref="E17:J17" si="8">E13/E15</f>
        <v>204.05842673798961</v>
      </c>
      <c r="F17" s="295">
        <f t="shared" si="8"/>
        <v>497.17633384057382</v>
      </c>
      <c r="G17" s="295">
        <f t="shared" si="8"/>
        <v>1211.3408442991554</v>
      </c>
      <c r="H17" s="295">
        <f t="shared" si="8"/>
        <v>1475.6802981071853</v>
      </c>
      <c r="I17" s="295">
        <f t="shared" si="8"/>
        <v>1797.7040504083907</v>
      </c>
      <c r="J17" s="295">
        <f t="shared" si="8"/>
        <v>2190</v>
      </c>
    </row>
    <row r="19" spans="2:10" x14ac:dyDescent="0.2">
      <c r="B19" s="297" t="s">
        <v>309</v>
      </c>
      <c r="C19" s="297"/>
      <c r="D19" s="298">
        <f>Model!AA74</f>
        <v>1.5224116386757895</v>
      </c>
      <c r="E19" s="298">
        <f>Model!AB74</f>
        <v>1.4905257407014807</v>
      </c>
      <c r="F19" s="298">
        <f>Model!AC74</f>
        <v>1.6149163620938367</v>
      </c>
      <c r="G19" s="298">
        <f>Model!AD74</f>
        <v>1.6220726313106593</v>
      </c>
      <c r="H19" s="298">
        <f>Model!AE74</f>
        <v>1.7713647738196368</v>
      </c>
      <c r="I19" s="298">
        <f>Model!AF74</f>
        <v>1.7546537853873758</v>
      </c>
      <c r="J19" s="298">
        <f>Model!AG74</f>
        <v>1.7381004477893816</v>
      </c>
    </row>
    <row r="21" spans="2:10" x14ac:dyDescent="0.2">
      <c r="B21" s="287" t="s">
        <v>306</v>
      </c>
      <c r="C21" s="292"/>
      <c r="D21" s="293">
        <v>-0.75</v>
      </c>
      <c r="E21" s="293">
        <f>D21</f>
        <v>-0.75</v>
      </c>
      <c r="F21" s="293">
        <f t="shared" ref="F21:J21" si="9">E21</f>
        <v>-0.75</v>
      </c>
      <c r="G21" s="293">
        <f t="shared" si="9"/>
        <v>-0.75</v>
      </c>
      <c r="H21" s="293">
        <f t="shared" si="9"/>
        <v>-0.75</v>
      </c>
      <c r="I21" s="293">
        <f t="shared" si="9"/>
        <v>-0.75</v>
      </c>
      <c r="J21" s="293">
        <f t="shared" si="9"/>
        <v>-0.75</v>
      </c>
    </row>
    <row r="23" spans="2:10" x14ac:dyDescent="0.2">
      <c r="B23" s="297" t="s">
        <v>305</v>
      </c>
      <c r="C23" s="297"/>
      <c r="D23" s="299">
        <f>D19*(1+D21)</f>
        <v>0.38060290966894739</v>
      </c>
      <c r="E23" s="299">
        <f t="shared" ref="E23:J23" si="10">E19*(1+E21)</f>
        <v>0.37263143517537017</v>
      </c>
      <c r="F23" s="299">
        <f t="shared" si="10"/>
        <v>0.40372909052345918</v>
      </c>
      <c r="G23" s="299">
        <f t="shared" si="10"/>
        <v>0.40551815782766482</v>
      </c>
      <c r="H23" s="299">
        <f t="shared" si="10"/>
        <v>0.44284119345490919</v>
      </c>
      <c r="I23" s="299">
        <f t="shared" si="10"/>
        <v>0.43866344634684395</v>
      </c>
      <c r="J23" s="299">
        <f t="shared" si="10"/>
        <v>0.43452511194734539</v>
      </c>
    </row>
    <row r="25" spans="2:10" x14ac:dyDescent="0.2">
      <c r="B25" s="300" t="s">
        <v>0</v>
      </c>
      <c r="C25" s="300"/>
      <c r="D25" s="301">
        <f t="shared" ref="D25:J25" si="11">D23*D17</f>
        <v>0</v>
      </c>
      <c r="E25" s="301">
        <f t="shared" si="11"/>
        <v>76.038584415005204</v>
      </c>
      <c r="F25" s="301">
        <f t="shared" si="11"/>
        <v>200.72454909124258</v>
      </c>
      <c r="G25" s="301">
        <f t="shared" si="11"/>
        <v>491.22070768160165</v>
      </c>
      <c r="H25" s="301">
        <f t="shared" si="11"/>
        <v>653.49202437168208</v>
      </c>
      <c r="I25" s="301">
        <f t="shared" si="11"/>
        <v>788.58705426382517</v>
      </c>
      <c r="J25" s="301">
        <f t="shared" si="11"/>
        <v>951.60999516468644</v>
      </c>
    </row>
    <row r="27" spans="2:10" x14ac:dyDescent="0.2">
      <c r="D27" s="363"/>
    </row>
    <row r="29" spans="2:10" x14ac:dyDescent="0.2">
      <c r="B29" s="368"/>
    </row>
  </sheetData>
  <pageMargins left="0.7" right="0.7" top="0.75" bottom="0.75" header="0.3" footer="0.3"/>
  <drawing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F3863-94B8-43B2-A84F-9FC6E9FB8FEF}">
  <sheetPr>
    <tabColor theme="4"/>
  </sheetPr>
  <dimension ref="B2:J83"/>
  <sheetViews>
    <sheetView showGridLines="0" topLeftCell="A43" zoomScale="92" zoomScaleNormal="100" workbookViewId="0">
      <selection activeCell="L80" sqref="L80"/>
    </sheetView>
  </sheetViews>
  <sheetFormatPr defaultRowHeight="14.25" x14ac:dyDescent="0.2"/>
  <cols>
    <col min="1" max="1" width="9.140625" style="1"/>
    <col min="2" max="2" width="26.7109375" style="1" customWidth="1"/>
    <col min="3" max="3" width="11.85546875" style="1" customWidth="1"/>
    <col min="4" max="4" width="10.28515625" style="1" customWidth="1"/>
    <col min="5" max="10" width="10.5703125" style="1" bestFit="1" customWidth="1"/>
    <col min="11" max="11" width="10.28515625" style="1" customWidth="1"/>
    <col min="12" max="12" width="11.42578125" style="1" customWidth="1"/>
    <col min="13" max="13" width="9.140625" style="1"/>
    <col min="14" max="14" width="16.5703125" style="1" customWidth="1"/>
    <col min="15" max="16384" width="9.140625" style="1"/>
  </cols>
  <sheetData>
    <row r="2" spans="2:10" ht="15" x14ac:dyDescent="0.25">
      <c r="B2" s="196" t="s">
        <v>17</v>
      </c>
      <c r="C2" s="196"/>
      <c r="D2" s="196"/>
      <c r="E2" s="196"/>
      <c r="F2" s="196"/>
      <c r="G2" s="196"/>
      <c r="H2" s="196"/>
      <c r="I2" s="196"/>
      <c r="J2" s="196"/>
    </row>
    <row r="4" spans="2:10" x14ac:dyDescent="0.2">
      <c r="B4" s="1" t="s">
        <v>18</v>
      </c>
      <c r="C4" s="8">
        <v>45657</v>
      </c>
    </row>
    <row r="5" spans="2:10" x14ac:dyDescent="0.2">
      <c r="B5" s="1" t="s">
        <v>19</v>
      </c>
      <c r="C5" s="9">
        <v>1</v>
      </c>
    </row>
    <row r="6" spans="2:10" x14ac:dyDescent="0.2">
      <c r="B6" s="1" t="s">
        <v>20</v>
      </c>
      <c r="C6" s="8">
        <v>45657</v>
      </c>
    </row>
    <row r="7" spans="2:10" x14ac:dyDescent="0.2">
      <c r="B7" s="1" t="s">
        <v>21</v>
      </c>
      <c r="C7" s="10">
        <v>0.15</v>
      </c>
    </row>
    <row r="8" spans="2:10" x14ac:dyDescent="0.2">
      <c r="B8" s="1" t="s">
        <v>22</v>
      </c>
      <c r="C8" s="11">
        <v>9.5000000000000001E-2</v>
      </c>
    </row>
    <row r="9" spans="2:10" x14ac:dyDescent="0.2">
      <c r="B9" s="1" t="s">
        <v>23</v>
      </c>
      <c r="C9" s="11">
        <v>0.04</v>
      </c>
    </row>
    <row r="12" spans="2:10" ht="15" x14ac:dyDescent="0.25">
      <c r="B12" s="196" t="s">
        <v>24</v>
      </c>
      <c r="C12" s="196"/>
      <c r="D12" s="196"/>
      <c r="E12" s="196"/>
      <c r="F12" s="196"/>
      <c r="G12" s="196"/>
      <c r="H12" s="196"/>
      <c r="I12" s="196"/>
      <c r="J12" s="196"/>
    </row>
    <row r="14" spans="2:10" ht="36.75" customHeight="1" x14ac:dyDescent="0.25">
      <c r="B14" s="2"/>
      <c r="C14" s="12">
        <v>2024</v>
      </c>
      <c r="D14" s="13">
        <f t="shared" ref="D14:I14" si="0">C14+1</f>
        <v>2025</v>
      </c>
      <c r="E14" s="13">
        <f t="shared" si="0"/>
        <v>2026</v>
      </c>
      <c r="F14" s="13">
        <f t="shared" si="0"/>
        <v>2027</v>
      </c>
      <c r="G14" s="13">
        <f t="shared" si="0"/>
        <v>2028</v>
      </c>
      <c r="H14" s="13">
        <f t="shared" si="0"/>
        <v>2029</v>
      </c>
      <c r="I14" s="14">
        <f t="shared" si="0"/>
        <v>2030</v>
      </c>
      <c r="J14" s="15" t="s">
        <v>25</v>
      </c>
    </row>
    <row r="15" spans="2:10" x14ac:dyDescent="0.2">
      <c r="C15" s="16"/>
      <c r="I15" s="16"/>
      <c r="J15" s="17"/>
    </row>
    <row r="16" spans="2:10" x14ac:dyDescent="0.2">
      <c r="B16" s="1" t="s">
        <v>0</v>
      </c>
      <c r="C16" s="18">
        <f>Model!AA122</f>
        <v>7441.2252380952377</v>
      </c>
      <c r="D16" s="19">
        <f>Model!AB122</f>
        <v>8054.6091269841272</v>
      </c>
      <c r="E16" s="19">
        <f>Model!AC122</f>
        <v>9456.2147752817182</v>
      </c>
      <c r="F16" s="19">
        <f>Model!AD122</f>
        <v>10546.104918991126</v>
      </c>
      <c r="G16" s="19">
        <f>Model!AE122</f>
        <v>12127.680621841919</v>
      </c>
      <c r="H16" s="19">
        <f>Model!AF122</f>
        <v>13278.623753482574</v>
      </c>
      <c r="I16" s="18">
        <f>Model!AG122</f>
        <v>14618.821869188125</v>
      </c>
      <c r="J16" s="20">
        <f>I16</f>
        <v>14618.821869188125</v>
      </c>
    </row>
    <row r="17" spans="2:10" x14ac:dyDescent="0.2">
      <c r="B17" s="1" t="s">
        <v>26</v>
      </c>
      <c r="C17" s="21"/>
      <c r="D17" s="22">
        <f t="shared" ref="D17:I17" si="1">D16/C16-1</f>
        <v>8.2430496223750982E-2</v>
      </c>
      <c r="E17" s="22">
        <f t="shared" si="1"/>
        <v>0.17401286967507912</v>
      </c>
      <c r="F17" s="23">
        <f t="shared" si="1"/>
        <v>0.11525649211758071</v>
      </c>
      <c r="G17" s="24">
        <f t="shared" si="1"/>
        <v>0.14996775729044143</v>
      </c>
      <c r="H17" s="24">
        <f t="shared" si="1"/>
        <v>9.4902163697138331E-2</v>
      </c>
      <c r="I17" s="25">
        <f t="shared" si="1"/>
        <v>0.10092899238552921</v>
      </c>
      <c r="J17" s="26"/>
    </row>
    <row r="18" spans="2:10" x14ac:dyDescent="0.2">
      <c r="C18" s="27"/>
      <c r="D18" s="28"/>
      <c r="E18" s="28"/>
      <c r="F18" s="28"/>
      <c r="G18" s="28"/>
      <c r="H18" s="28"/>
      <c r="I18" s="27"/>
      <c r="J18" s="29"/>
    </row>
    <row r="19" spans="2:10" x14ac:dyDescent="0.2">
      <c r="B19" s="1" t="s">
        <v>27</v>
      </c>
      <c r="C19" s="18">
        <f>Model!AA186</f>
        <v>1678.7158182371022</v>
      </c>
      <c r="D19" s="19">
        <f>Model!AB186</f>
        <v>1909.8687003215982</v>
      </c>
      <c r="E19" s="19">
        <f>Model!AC186</f>
        <v>2286.1861633703165</v>
      </c>
      <c r="F19" s="19">
        <f>Model!AD186</f>
        <v>2837.4301316706733</v>
      </c>
      <c r="G19" s="19">
        <f>Model!AE186</f>
        <v>3524.463998916146</v>
      </c>
      <c r="H19" s="19">
        <f>Model!AF186</f>
        <v>4142.6587183594747</v>
      </c>
      <c r="I19" s="18">
        <f>Model!AG186</f>
        <v>4883.5123455328994</v>
      </c>
      <c r="J19" s="20">
        <f>I19</f>
        <v>4883.5123455328994</v>
      </c>
    </row>
    <row r="20" spans="2:10" x14ac:dyDescent="0.2">
      <c r="B20" s="1" t="s">
        <v>28</v>
      </c>
      <c r="C20" s="21">
        <f t="shared" ref="C20:H20" si="2">C19/C$16</f>
        <v>0.22559669470061766</v>
      </c>
      <c r="D20" s="22">
        <f t="shared" si="2"/>
        <v>0.23711500709863831</v>
      </c>
      <c r="E20" s="22">
        <f t="shared" si="2"/>
        <v>0.24176546511468242</v>
      </c>
      <c r="F20" s="22">
        <f t="shared" si="2"/>
        <v>0.26905005719800013</v>
      </c>
      <c r="G20" s="22">
        <f t="shared" si="2"/>
        <v>0.29061319380134371</v>
      </c>
      <c r="H20" s="22">
        <f t="shared" si="2"/>
        <v>0.31197952402808182</v>
      </c>
      <c r="I20" s="21">
        <f t="shared" ref="I20" si="3">I19/I$16</f>
        <v>0.33405649164012363</v>
      </c>
      <c r="J20" s="30">
        <f>J19/J$16</f>
        <v>0.33405649164012363</v>
      </c>
    </row>
    <row r="21" spans="2:10" x14ac:dyDescent="0.2">
      <c r="C21" s="27"/>
      <c r="D21" s="28"/>
      <c r="E21" s="28"/>
      <c r="F21" s="28"/>
      <c r="G21" s="28"/>
      <c r="H21" s="28"/>
      <c r="I21" s="27"/>
      <c r="J21" s="29"/>
    </row>
    <row r="22" spans="2:10" x14ac:dyDescent="0.2">
      <c r="B22" s="1" t="s">
        <v>29</v>
      </c>
      <c r="C22" s="31">
        <f>-Model!AA184</f>
        <v>-270.57788333333338</v>
      </c>
      <c r="D22" s="32">
        <f>-Model!AB184</f>
        <v>-281.91131944444442</v>
      </c>
      <c r="E22" s="32">
        <f>-Model!AC184</f>
        <v>-472.81073876408595</v>
      </c>
      <c r="F22" s="32">
        <f>-Model!AD184</f>
        <v>-421.84419675964506</v>
      </c>
      <c r="G22" s="32">
        <f>-Model!AE184</f>
        <v>-424.46882176446718</v>
      </c>
      <c r="H22" s="32">
        <f>-Model!AF184</f>
        <v>-398.3587126044772</v>
      </c>
      <c r="I22" s="31">
        <f>-Model!AG184</f>
        <v>-365.47054672970313</v>
      </c>
      <c r="J22" s="33">
        <f>I22</f>
        <v>-365.47054672970313</v>
      </c>
    </row>
    <row r="23" spans="2:10" x14ac:dyDescent="0.2">
      <c r="B23" s="1" t="s">
        <v>30</v>
      </c>
      <c r="C23" s="31">
        <f>C19*-$C$7</f>
        <v>-251.80737273556531</v>
      </c>
      <c r="D23" s="32">
        <f>D19*-$C$7</f>
        <v>-286.4803050482397</v>
      </c>
      <c r="E23" s="32">
        <f t="shared" ref="E23:H23" si="4">E19*-$C$7</f>
        <v>-342.92792450554748</v>
      </c>
      <c r="F23" s="32">
        <f t="shared" si="4"/>
        <v>-425.614519750601</v>
      </c>
      <c r="G23" s="32">
        <f t="shared" si="4"/>
        <v>-528.66959983742186</v>
      </c>
      <c r="H23" s="32">
        <f t="shared" si="4"/>
        <v>-621.39880775392123</v>
      </c>
      <c r="I23" s="31">
        <f t="shared" ref="I23" si="5">I19*-$C$7</f>
        <v>-732.52685182993491</v>
      </c>
      <c r="J23" s="33">
        <f t="shared" ref="J23:J25" si="6">I23</f>
        <v>-732.52685182993491</v>
      </c>
    </row>
    <row r="24" spans="2:10" x14ac:dyDescent="0.2">
      <c r="B24" s="1" t="s">
        <v>31</v>
      </c>
      <c r="C24" s="31">
        <f>Model!AA292</f>
        <v>-304.00407058518232</v>
      </c>
      <c r="D24" s="32">
        <f>Model!AB292</f>
        <v>-359.93348687340517</v>
      </c>
      <c r="E24" s="32">
        <f>Model!AC292</f>
        <v>-378.24859101126873</v>
      </c>
      <c r="F24" s="32">
        <f>Model!AD292</f>
        <v>-369.11367216468943</v>
      </c>
      <c r="G24" s="32">
        <f>Model!AE292</f>
        <v>-363.83041865525757</v>
      </c>
      <c r="H24" s="32">
        <f>Model!AF292</f>
        <v>-331.96559383706438</v>
      </c>
      <c r="I24" s="31">
        <f>Model!AG292</f>
        <v>-292.37643738376249</v>
      </c>
      <c r="J24" s="33">
        <f t="shared" si="6"/>
        <v>-292.37643738376249</v>
      </c>
    </row>
    <row r="25" spans="2:10" x14ac:dyDescent="0.2">
      <c r="B25" s="34" t="s">
        <v>32</v>
      </c>
      <c r="C25" s="31">
        <f>Model!AA317</f>
        <v>-327.40833494645403</v>
      </c>
      <c r="D25" s="32">
        <f>Model!AB317</f>
        <v>-131.8339556608621</v>
      </c>
      <c r="E25" s="32">
        <f>Model!AC317</f>
        <v>-150.9877731422489</v>
      </c>
      <c r="F25" s="32">
        <f>Model!AD317</f>
        <v>-55.016599095434231</v>
      </c>
      <c r="G25" s="32">
        <f>Model!AE317</f>
        <v>-106.93356039411128</v>
      </c>
      <c r="H25" s="32">
        <f>Model!AF317</f>
        <v>-6.5355474171219612</v>
      </c>
      <c r="I25" s="32">
        <f>Model!AG317</f>
        <v>-3.3371125885391848</v>
      </c>
      <c r="J25" s="33">
        <f t="shared" si="6"/>
        <v>-3.3371125885391848</v>
      </c>
    </row>
    <row r="26" spans="2:10" ht="15" x14ac:dyDescent="0.25">
      <c r="B26" s="4" t="s">
        <v>33</v>
      </c>
      <c r="C26" s="35">
        <f t="shared" ref="C26:I26" si="7">C19+SUM(C22:C25)</f>
        <v>524.91815663656712</v>
      </c>
      <c r="D26" s="36">
        <f t="shared" si="7"/>
        <v>849.70963329464689</v>
      </c>
      <c r="E26" s="36">
        <f t="shared" si="7"/>
        <v>941.21113594716553</v>
      </c>
      <c r="F26" s="36">
        <f t="shared" si="7"/>
        <v>1565.8411439003035</v>
      </c>
      <c r="G26" s="36">
        <f t="shared" si="7"/>
        <v>2100.5615982648878</v>
      </c>
      <c r="H26" s="36">
        <f t="shared" si="7"/>
        <v>2784.4000567468902</v>
      </c>
      <c r="I26" s="35">
        <f t="shared" si="7"/>
        <v>3489.8013970009597</v>
      </c>
      <c r="J26" s="37">
        <f>J19+SUM(J22:J25)</f>
        <v>3489.8013970009597</v>
      </c>
    </row>
    <row r="27" spans="2:10" ht="15" x14ac:dyDescent="0.25">
      <c r="B27" s="5" t="s">
        <v>34</v>
      </c>
      <c r="C27" s="38">
        <f>C26</f>
        <v>524.91815663656712</v>
      </c>
      <c r="D27" s="39">
        <f>D26*C5</f>
        <v>849.70963329464689</v>
      </c>
      <c r="E27" s="39">
        <f>E26</f>
        <v>941.21113594716553</v>
      </c>
      <c r="F27" s="39">
        <f t="shared" ref="F27:H27" si="8">F26</f>
        <v>1565.8411439003035</v>
      </c>
      <c r="G27" s="39">
        <f t="shared" si="8"/>
        <v>2100.5615982648878</v>
      </c>
      <c r="H27" s="39">
        <f t="shared" si="8"/>
        <v>2784.4000567468902</v>
      </c>
      <c r="I27" s="38">
        <f t="shared" ref="I27" si="9">I26</f>
        <v>3489.8013970009597</v>
      </c>
      <c r="J27" s="40">
        <f>J26</f>
        <v>3489.8013970009597</v>
      </c>
    </row>
    <row r="28" spans="2:10" ht="15" x14ac:dyDescent="0.25">
      <c r="B28" s="5"/>
      <c r="C28" s="38"/>
      <c r="D28" s="39"/>
      <c r="E28" s="39"/>
      <c r="F28" s="39"/>
      <c r="G28" s="39"/>
      <c r="H28" s="39"/>
      <c r="I28" s="38"/>
      <c r="J28" s="40"/>
    </row>
    <row r="29" spans="2:10" x14ac:dyDescent="0.2">
      <c r="B29" s="41" t="s">
        <v>35</v>
      </c>
      <c r="C29" s="42"/>
      <c r="D29" s="43">
        <f>C5/2</f>
        <v>0.5</v>
      </c>
      <c r="E29" s="43">
        <f>D29+1</f>
        <v>1.5</v>
      </c>
      <c r="F29" s="43">
        <f>E29+1</f>
        <v>2.5</v>
      </c>
      <c r="G29" s="43">
        <f>F29+1</f>
        <v>3.5</v>
      </c>
      <c r="H29" s="43">
        <f>G29+1</f>
        <v>4.5</v>
      </c>
      <c r="I29" s="44">
        <f>H29+1</f>
        <v>5.5</v>
      </c>
      <c r="J29" s="45">
        <f>H29</f>
        <v>4.5</v>
      </c>
    </row>
    <row r="30" spans="2:10" x14ac:dyDescent="0.2">
      <c r="B30" s="41" t="s">
        <v>36</v>
      </c>
      <c r="C30" s="46"/>
      <c r="D30" s="43">
        <f t="shared" ref="D30:H30" si="10">1/(1+$D$35)^D29</f>
        <v>0.95563696513499319</v>
      </c>
      <c r="E30" s="43">
        <f t="shared" si="10"/>
        <v>0.87272782204108956</v>
      </c>
      <c r="F30" s="43">
        <f t="shared" si="10"/>
        <v>0.79701170962656598</v>
      </c>
      <c r="G30" s="43">
        <f t="shared" si="10"/>
        <v>0.72786457500143009</v>
      </c>
      <c r="H30" s="43">
        <f t="shared" si="10"/>
        <v>0.66471650685062111</v>
      </c>
      <c r="I30" s="44">
        <f t="shared" ref="I30" si="11">1/(1+$D$35)^I29</f>
        <v>0.60704703821974526</v>
      </c>
      <c r="J30" s="45">
        <f>1/(1+$D$35)^J29</f>
        <v>0.66471650685062111</v>
      </c>
    </row>
    <row r="31" spans="2:10" x14ac:dyDescent="0.2">
      <c r="B31" s="47" t="s">
        <v>37</v>
      </c>
      <c r="C31" s="48"/>
      <c r="D31" s="49">
        <f>D30*D27</f>
        <v>812.0139352076643</v>
      </c>
      <c r="E31" s="49">
        <f t="shared" ref="E31:H31" si="12">E30*E27</f>
        <v>821.42114475598964</v>
      </c>
      <c r="F31" s="49">
        <f t="shared" si="12"/>
        <v>1247.9937271035985</v>
      </c>
      <c r="G31" s="49">
        <f t="shared" si="12"/>
        <v>1528.9243749853972</v>
      </c>
      <c r="H31" s="49">
        <f t="shared" si="12"/>
        <v>1850.836679395464</v>
      </c>
      <c r="I31" s="50">
        <f t="shared" ref="I31:J31" si="13">I30*I27</f>
        <v>2118.4736020245618</v>
      </c>
      <c r="J31" s="50">
        <f t="shared" si="13"/>
        <v>2319.7285942168955</v>
      </c>
    </row>
    <row r="34" spans="2:4" ht="15" x14ac:dyDescent="0.25">
      <c r="B34" s="2" t="s">
        <v>38</v>
      </c>
      <c r="C34" s="3"/>
      <c r="D34" s="3"/>
    </row>
    <row r="35" spans="2:4" x14ac:dyDescent="0.2">
      <c r="B35" s="1" t="s">
        <v>39</v>
      </c>
      <c r="D35" s="51">
        <f>C8</f>
        <v>9.5000000000000001E-2</v>
      </c>
    </row>
    <row r="36" spans="2:4" x14ac:dyDescent="0.2">
      <c r="B36" s="1" t="s">
        <v>40</v>
      </c>
      <c r="D36" s="51">
        <f>C9</f>
        <v>0.04</v>
      </c>
    </row>
    <row r="37" spans="2:4" ht="3.75" customHeight="1" x14ac:dyDescent="0.2"/>
    <row r="38" spans="2:4" x14ac:dyDescent="0.2">
      <c r="B38" s="1" t="s">
        <v>41</v>
      </c>
      <c r="D38" s="52">
        <f>J30</f>
        <v>0.66471650685062111</v>
      </c>
    </row>
    <row r="39" spans="2:4" x14ac:dyDescent="0.2">
      <c r="B39" s="1" t="s">
        <v>42</v>
      </c>
      <c r="D39" s="53">
        <f>J26</f>
        <v>3489.8013970009597</v>
      </c>
    </row>
    <row r="40" spans="2:4" ht="15" x14ac:dyDescent="0.25">
      <c r="B40" s="5" t="s">
        <v>43</v>
      </c>
      <c r="C40" s="5"/>
      <c r="D40" s="54">
        <f>(D39*(1+D36)/(D35-D36))</f>
        <v>65988.971870563604</v>
      </c>
    </row>
    <row r="41" spans="2:4" ht="3.75" customHeight="1" x14ac:dyDescent="0.2"/>
    <row r="42" spans="2:4" x14ac:dyDescent="0.2">
      <c r="B42" s="1" t="s">
        <v>44</v>
      </c>
      <c r="D42" s="53">
        <f>SUM(D31:I31)</f>
        <v>8379.6634634726761</v>
      </c>
    </row>
    <row r="43" spans="2:4" x14ac:dyDescent="0.2">
      <c r="B43" s="1" t="s">
        <v>45</v>
      </c>
      <c r="D43" s="53">
        <f>D40*D38</f>
        <v>43863.958872464937</v>
      </c>
    </row>
    <row r="44" spans="2:4" ht="15" x14ac:dyDescent="0.25">
      <c r="B44" s="55" t="s">
        <v>46</v>
      </c>
      <c r="C44" s="2"/>
      <c r="D44" s="56">
        <f>SUM(D42:D43)</f>
        <v>52243.622335937616</v>
      </c>
    </row>
    <row r="45" spans="2:4" ht="3.75" customHeight="1" x14ac:dyDescent="0.2"/>
    <row r="46" spans="2:4" x14ac:dyDescent="0.2">
      <c r="B46" s="1" t="s">
        <v>47</v>
      </c>
      <c r="D46" s="53">
        <f>SUM('HWM- TSM'!E15:E16)</f>
        <v>2919</v>
      </c>
    </row>
    <row r="47" spans="2:4" ht="15" x14ac:dyDescent="0.25">
      <c r="B47" s="55" t="s">
        <v>15</v>
      </c>
      <c r="C47" s="2"/>
      <c r="D47" s="56">
        <f>D44-D46</f>
        <v>49324.622335937616</v>
      </c>
    </row>
    <row r="48" spans="2:4" ht="3.75" customHeight="1" x14ac:dyDescent="0.2"/>
    <row r="49" spans="2:10" x14ac:dyDescent="0.2">
      <c r="B49" s="1" t="s">
        <v>48</v>
      </c>
      <c r="D49" s="53">
        <f>'HWM- TSM'!C3</f>
        <v>406.260649</v>
      </c>
    </row>
    <row r="50" spans="2:10" ht="15" x14ac:dyDescent="0.25">
      <c r="B50" s="55" t="s">
        <v>49</v>
      </c>
      <c r="C50" s="2"/>
      <c r="D50" s="57">
        <f>D47/D49</f>
        <v>121.41127243642447</v>
      </c>
    </row>
    <row r="51" spans="2:10" ht="3.75" customHeight="1" x14ac:dyDescent="0.25">
      <c r="B51" s="5"/>
      <c r="C51" s="5"/>
      <c r="D51" s="58"/>
    </row>
    <row r="52" spans="2:10" x14ac:dyDescent="0.2">
      <c r="B52" s="1" t="s">
        <v>50</v>
      </c>
      <c r="D52" s="59">
        <f>'HWM- TSM'!C5</f>
        <v>110.83</v>
      </c>
    </row>
    <row r="53" spans="2:10" x14ac:dyDescent="0.2">
      <c r="B53" s="60" t="s">
        <v>51</v>
      </c>
      <c r="C53" s="61"/>
      <c r="D53" s="62">
        <f>D50/D52-1</f>
        <v>9.5472998614314353E-2</v>
      </c>
    </row>
    <row r="54" spans="2:10" ht="3.75" customHeight="1" x14ac:dyDescent="0.2"/>
    <row r="55" spans="2:10" ht="15" x14ac:dyDescent="0.25">
      <c r="B55" s="6" t="s">
        <v>52</v>
      </c>
      <c r="C55" s="6"/>
      <c r="D55" s="6"/>
    </row>
    <row r="56" spans="2:10" x14ac:dyDescent="0.2">
      <c r="B56" s="1" t="s">
        <v>53</v>
      </c>
      <c r="D56" s="191">
        <f>+D40*(1+D35)^(0.5)</f>
        <v>69052.343387786386</v>
      </c>
    </row>
    <row r="57" spans="2:10" x14ac:dyDescent="0.2">
      <c r="B57" s="1" t="s">
        <v>54</v>
      </c>
      <c r="D57" s="63">
        <f>J19+J22</f>
        <v>4518.0417988031959</v>
      </c>
    </row>
    <row r="58" spans="2:10" x14ac:dyDescent="0.2">
      <c r="B58" s="1" t="s">
        <v>55</v>
      </c>
      <c r="D58" s="7">
        <f>D56/D57</f>
        <v>15.283688478950763</v>
      </c>
    </row>
    <row r="61" spans="2:10" ht="15" x14ac:dyDescent="0.25">
      <c r="B61" s="196" t="s">
        <v>56</v>
      </c>
      <c r="C61" s="196"/>
      <c r="D61" s="196"/>
      <c r="E61" s="196"/>
      <c r="F61" s="196"/>
      <c r="G61" s="196"/>
      <c r="H61" s="196"/>
      <c r="I61" s="196"/>
      <c r="J61" s="196"/>
    </row>
    <row r="64" spans="2:10" ht="15" x14ac:dyDescent="0.25">
      <c r="B64" s="2" t="s">
        <v>59</v>
      </c>
      <c r="C64" s="3"/>
      <c r="D64" s="3"/>
      <c r="E64" s="3"/>
      <c r="F64" s="3"/>
      <c r="G64" s="3"/>
      <c r="H64" s="3"/>
    </row>
    <row r="66" spans="2:10" x14ac:dyDescent="0.2">
      <c r="B66" s="64" t="s">
        <v>57</v>
      </c>
      <c r="C66" s="34"/>
      <c r="D66" s="34"/>
      <c r="E66" s="34"/>
      <c r="F66" s="34"/>
      <c r="G66" s="34"/>
      <c r="H66" s="34"/>
    </row>
    <row r="67" spans="2:10" ht="15" x14ac:dyDescent="0.25">
      <c r="B67" s="65"/>
      <c r="C67" s="66"/>
      <c r="D67" s="67" t="s">
        <v>40</v>
      </c>
      <c r="E67" s="67"/>
      <c r="F67" s="67"/>
      <c r="G67" s="67"/>
      <c r="H67" s="67"/>
    </row>
    <row r="68" spans="2:10" ht="15" x14ac:dyDescent="0.25">
      <c r="B68" s="68"/>
      <c r="C68" s="69">
        <f>D50</f>
        <v>121.41127243642447</v>
      </c>
      <c r="D68" s="77">
        <f>E68-0.25%</f>
        <v>3.4999999999999996E-2</v>
      </c>
      <c r="E68" s="77">
        <f>F68-0.25%</f>
        <v>3.7499999999999999E-2</v>
      </c>
      <c r="F68" s="78">
        <v>0.04</v>
      </c>
      <c r="G68" s="77">
        <f>F68+0.25%</f>
        <v>4.2500000000000003E-2</v>
      </c>
      <c r="H68" s="77">
        <f>G68+0.25%</f>
        <v>4.5000000000000005E-2</v>
      </c>
      <c r="J68" s="70"/>
    </row>
    <row r="69" spans="2:10" ht="15" x14ac:dyDescent="0.25">
      <c r="B69" s="74"/>
      <c r="C69" s="79">
        <f>C70-0.25%</f>
        <v>0.09</v>
      </c>
      <c r="D69" s="72">
        <f t="dataTable" ref="D69:H73" dt2D="1" dtr="1" r1="C9" r2="C8" ca="1"/>
        <v>123.47043288511682</v>
      </c>
      <c r="E69" s="72">
        <v>128.9711742690501</v>
      </c>
      <c r="F69" s="72">
        <v>135.02198979137665</v>
      </c>
      <c r="G69" s="72">
        <v>141.70973326342178</v>
      </c>
      <c r="H69" s="72">
        <v>149.14055934347195</v>
      </c>
    </row>
    <row r="70" spans="2:10" ht="15" x14ac:dyDescent="0.25">
      <c r="B70" s="71" t="s">
        <v>60</v>
      </c>
      <c r="C70" s="79">
        <f>C71-0.25%</f>
        <v>9.2499999999999999E-2</v>
      </c>
      <c r="D70" s="73">
        <v>117.45315164775728</v>
      </c>
      <c r="E70" s="73">
        <v>122.43545732313218</v>
      </c>
      <c r="F70" s="73">
        <v>127.8922683009238</v>
      </c>
      <c r="G70" s="73">
        <v>133.8947603764945</v>
      </c>
      <c r="H70" s="73">
        <v>140.52909372317794</v>
      </c>
    </row>
    <row r="71" spans="2:10" ht="15" x14ac:dyDescent="0.25">
      <c r="B71" s="71" t="s">
        <v>61</v>
      </c>
      <c r="C71" s="79">
        <v>9.5000000000000001E-2</v>
      </c>
      <c r="D71" s="73">
        <v>111.9379438438157</v>
      </c>
      <c r="E71" s="73">
        <v>116.46866621419379</v>
      </c>
      <c r="F71" s="73">
        <v>121.41127243642447</v>
      </c>
      <c r="G71" s="73">
        <v>126.8246030607723</v>
      </c>
      <c r="H71" s="73">
        <v>132.77926674755494</v>
      </c>
    </row>
    <row r="72" spans="2:10" ht="15" x14ac:dyDescent="0.25">
      <c r="B72" s="74"/>
      <c r="C72" s="79">
        <f>C71+0.25%</f>
        <v>9.7500000000000003E-2</v>
      </c>
      <c r="D72" s="73">
        <v>106.86459721387793</v>
      </c>
      <c r="E72" s="73">
        <v>110.9997241337846</v>
      </c>
      <c r="F72" s="73">
        <v>115.49442730759621</v>
      </c>
      <c r="G72" s="73">
        <v>120.39773986084519</v>
      </c>
      <c r="H72" s="73">
        <v>125.76803456202269</v>
      </c>
    </row>
    <row r="73" spans="2:10" ht="15" x14ac:dyDescent="0.25">
      <c r="B73" s="74"/>
      <c r="C73" s="79">
        <f>C72+0.25%</f>
        <v>0.1</v>
      </c>
      <c r="D73" s="73">
        <v>102.18216163706522</v>
      </c>
      <c r="E73" s="73">
        <v>105.96892521080281</v>
      </c>
      <c r="F73" s="73">
        <v>110.07125241568519</v>
      </c>
      <c r="G73" s="73">
        <v>114.53030372533996</v>
      </c>
      <c r="H73" s="73">
        <v>119.39472333587244</v>
      </c>
    </row>
    <row r="76" spans="2:10" x14ac:dyDescent="0.2">
      <c r="B76" s="64" t="s">
        <v>58</v>
      </c>
      <c r="C76" s="34"/>
      <c r="D76" s="34"/>
      <c r="E76" s="34"/>
      <c r="F76" s="34"/>
      <c r="G76" s="34"/>
      <c r="H76" s="34"/>
    </row>
    <row r="77" spans="2:10" ht="15" x14ac:dyDescent="0.25">
      <c r="B77" s="65"/>
      <c r="C77" s="66"/>
      <c r="D77" s="67" t="s">
        <v>40</v>
      </c>
      <c r="E77" s="67"/>
      <c r="F77" s="67"/>
      <c r="G77" s="67"/>
      <c r="H77" s="67"/>
    </row>
    <row r="78" spans="2:10" ht="15" x14ac:dyDescent="0.25">
      <c r="B78" s="68"/>
      <c r="C78" s="75"/>
      <c r="D78" s="77">
        <f>E78-0.25%</f>
        <v>3.4999999999999996E-2</v>
      </c>
      <c r="E78" s="77">
        <f>F78-0.25%</f>
        <v>3.7499999999999999E-2</v>
      </c>
      <c r="F78" s="78">
        <v>0.04</v>
      </c>
      <c r="G78" s="77">
        <f>F78+0.25%</f>
        <v>4.2500000000000003E-2</v>
      </c>
      <c r="H78" s="77">
        <f>G78+0.25%</f>
        <v>4.5000000000000005E-2</v>
      </c>
    </row>
    <row r="79" spans="2:10" ht="15" x14ac:dyDescent="0.25">
      <c r="B79" s="74"/>
      <c r="C79" s="79">
        <f>C80-0.25%</f>
        <v>0.09</v>
      </c>
      <c r="D79" s="76">
        <f t="shared" ref="D79:H83" si="14">D69/$D$52-1</f>
        <v>0.11405244866116426</v>
      </c>
      <c r="E79" s="76">
        <f t="shared" si="14"/>
        <v>0.1636846906888938</v>
      </c>
      <c r="F79" s="76">
        <f t="shared" si="14"/>
        <v>0.21828015691939595</v>
      </c>
      <c r="G79" s="76">
        <f t="shared" si="14"/>
        <v>0.2786225143320562</v>
      </c>
      <c r="H79" s="76">
        <f t="shared" si="14"/>
        <v>0.34566957812390098</v>
      </c>
    </row>
    <row r="80" spans="2:10" ht="15" x14ac:dyDescent="0.25">
      <c r="B80" s="71" t="s">
        <v>60</v>
      </c>
      <c r="C80" s="79">
        <f>C81-0.25%</f>
        <v>9.2499999999999999E-2</v>
      </c>
      <c r="D80" s="76">
        <f t="shared" si="14"/>
        <v>5.9759556507780198E-2</v>
      </c>
      <c r="E80" s="76">
        <f t="shared" si="14"/>
        <v>0.10471404243555171</v>
      </c>
      <c r="F80" s="76">
        <f t="shared" si="14"/>
        <v>0.15394990797549224</v>
      </c>
      <c r="G80" s="76">
        <f t="shared" si="14"/>
        <v>0.20810936006942615</v>
      </c>
      <c r="H80" s="76">
        <f t="shared" si="14"/>
        <v>0.26796980712061669</v>
      </c>
    </row>
    <row r="81" spans="2:8" ht="15" x14ac:dyDescent="0.25">
      <c r="B81" s="71" t="s">
        <v>61</v>
      </c>
      <c r="C81" s="79">
        <v>9.5000000000000001E-2</v>
      </c>
      <c r="D81" s="76">
        <f t="shared" si="14"/>
        <v>9.9967864640955195E-3</v>
      </c>
      <c r="E81" s="76">
        <f t="shared" si="14"/>
        <v>5.0876714014200131E-2</v>
      </c>
      <c r="F81" s="76">
        <f t="shared" si="14"/>
        <v>9.5472998614314353E-2</v>
      </c>
      <c r="G81" s="76">
        <f t="shared" si="14"/>
        <v>0.14431654841443931</v>
      </c>
      <c r="H81" s="76">
        <f t="shared" si="14"/>
        <v>0.19804445319457686</v>
      </c>
    </row>
    <row r="82" spans="2:8" ht="15" x14ac:dyDescent="0.25">
      <c r="B82" s="74"/>
      <c r="C82" s="79">
        <f>C81+0.25%</f>
        <v>9.7500000000000003E-2</v>
      </c>
      <c r="D82" s="76">
        <f t="shared" si="14"/>
        <v>-3.5779146315276233E-2</v>
      </c>
      <c r="E82" s="76">
        <f t="shared" si="14"/>
        <v>1.5313916248722581E-3</v>
      </c>
      <c r="F82" s="76">
        <f t="shared" si="14"/>
        <v>4.2086324168512323E-2</v>
      </c>
      <c r="G82" s="76">
        <f t="shared" si="14"/>
        <v>8.6328068761573507E-2</v>
      </c>
      <c r="H82" s="76">
        <f t="shared" si="14"/>
        <v>0.1347833128396887</v>
      </c>
    </row>
    <row r="83" spans="2:8" ht="15" x14ac:dyDescent="0.25">
      <c r="B83" s="74"/>
      <c r="C83" s="79">
        <f>C82+0.25%</f>
        <v>0.1</v>
      </c>
      <c r="D83" s="76">
        <f t="shared" si="14"/>
        <v>-7.80279559950805E-2</v>
      </c>
      <c r="E83" s="76">
        <f t="shared" si="14"/>
        <v>-4.3860640523298633E-2</v>
      </c>
      <c r="F83" s="76">
        <f t="shared" si="14"/>
        <v>-6.8460487622016286E-3</v>
      </c>
      <c r="G83" s="76">
        <f t="shared" si="14"/>
        <v>3.3387203152034362E-2</v>
      </c>
      <c r="H83" s="76">
        <f t="shared" si="14"/>
        <v>7.7278023422109987E-2</v>
      </c>
    </row>
  </sheetData>
  <conditionalFormatting sqref="D53">
    <cfRule type="cellIs" dxfId="0" priority="1" operator="lessThan">
      <formula>0</formula>
    </cfRule>
  </conditionalFormatting>
  <pageMargins left="0.7" right="0.7" top="0.75" bottom="0.75" header="0.3" footer="0.3"/>
  <pageSetup orientation="portrait" verticalDpi="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C3388-2064-4741-A087-A2FD74C82196}">
  <sheetPr>
    <tabColor theme="4"/>
  </sheetPr>
  <dimension ref="B2:N29"/>
  <sheetViews>
    <sheetView showGridLines="0" topLeftCell="A2" zoomScale="116" zoomScaleNormal="130" workbookViewId="0">
      <selection activeCell="J17" sqref="J17"/>
    </sheetView>
  </sheetViews>
  <sheetFormatPr defaultRowHeight="12.75" x14ac:dyDescent="0.2"/>
  <cols>
    <col min="1" max="6" width="9.140625" style="81"/>
    <col min="7" max="7" width="12.28515625" style="81" customWidth="1"/>
    <col min="8" max="16384" width="9.140625" style="81"/>
  </cols>
  <sheetData>
    <row r="2" spans="2:14" x14ac:dyDescent="0.2">
      <c r="B2" s="80" t="s">
        <v>62</v>
      </c>
    </row>
    <row r="4" spans="2:14" x14ac:dyDescent="0.2">
      <c r="B4" s="192" t="s">
        <v>62</v>
      </c>
      <c r="C4" s="195"/>
      <c r="D4" s="195"/>
      <c r="E4" s="195"/>
      <c r="F4" s="195"/>
      <c r="G4" s="195"/>
      <c r="H4" s="195"/>
    </row>
    <row r="5" spans="2:14" ht="34.5" customHeight="1" x14ac:dyDescent="0.2">
      <c r="B5" s="82"/>
      <c r="C5" s="82"/>
      <c r="D5" s="82"/>
      <c r="E5" s="82"/>
      <c r="F5" s="82"/>
      <c r="G5" s="83" t="s">
        <v>63</v>
      </c>
      <c r="H5" s="84"/>
    </row>
    <row r="6" spans="2:14" x14ac:dyDescent="0.2">
      <c r="B6" s="85"/>
      <c r="C6" s="85"/>
      <c r="D6" s="85"/>
      <c r="E6" s="85"/>
      <c r="F6" s="85"/>
      <c r="G6" s="86" t="s">
        <v>64</v>
      </c>
      <c r="H6" s="86" t="s">
        <v>65</v>
      </c>
    </row>
    <row r="7" spans="2:14" ht="17.25" customHeight="1" x14ac:dyDescent="0.2">
      <c r="B7" s="87" t="s">
        <v>66</v>
      </c>
      <c r="C7" s="88"/>
      <c r="D7" s="88"/>
      <c r="E7" s="88"/>
      <c r="F7" s="88"/>
      <c r="G7" s="89">
        <v>0.04</v>
      </c>
      <c r="H7" s="89">
        <v>0.05</v>
      </c>
    </row>
    <row r="8" spans="2:14" ht="9" customHeight="1" x14ac:dyDescent="0.2">
      <c r="B8" s="88"/>
      <c r="C8" s="88" t="s">
        <v>67</v>
      </c>
      <c r="D8" s="88"/>
      <c r="E8" s="88"/>
      <c r="F8" s="88"/>
      <c r="G8" s="88"/>
      <c r="H8" s="88"/>
    </row>
    <row r="9" spans="2:14" ht="17.25" customHeight="1" x14ac:dyDescent="0.2">
      <c r="B9" s="87" t="s">
        <v>68</v>
      </c>
      <c r="C9" s="88"/>
      <c r="D9" s="88"/>
      <c r="E9" s="88"/>
      <c r="F9" s="88"/>
      <c r="G9" s="90">
        <f>'Beta Determination'!K46</f>
        <v>1.1356285944560014</v>
      </c>
      <c r="H9" s="90">
        <f>G9</f>
        <v>1.1356285944560014</v>
      </c>
    </row>
    <row r="10" spans="2:14" ht="17.25" customHeight="1" x14ac:dyDescent="0.2">
      <c r="B10" s="91" t="s">
        <v>69</v>
      </c>
      <c r="C10" s="88"/>
      <c r="D10" s="88"/>
      <c r="E10" s="88"/>
      <c r="F10" s="88"/>
      <c r="G10" s="90">
        <f>'Beta Determination'!K44</f>
        <v>1.0769402326441269</v>
      </c>
      <c r="H10" s="90">
        <f>G10</f>
        <v>1.0769402326441269</v>
      </c>
    </row>
    <row r="11" spans="2:14" ht="17.25" customHeight="1" x14ac:dyDescent="0.2">
      <c r="B11" s="88" t="s">
        <v>70</v>
      </c>
      <c r="C11" s="88"/>
      <c r="D11" s="88"/>
      <c r="E11" s="88"/>
      <c r="F11" s="88"/>
      <c r="G11" s="89">
        <f>G7*G9</f>
        <v>4.5425143778240057E-2</v>
      </c>
      <c r="H11" s="89">
        <f>H7*H9</f>
        <v>5.6781429722800071E-2</v>
      </c>
    </row>
    <row r="12" spans="2:14" ht="17.25" customHeight="1" x14ac:dyDescent="0.2">
      <c r="B12" s="92" t="s">
        <v>71</v>
      </c>
      <c r="C12" s="88"/>
      <c r="D12" s="88"/>
      <c r="E12" s="88"/>
      <c r="F12" s="88"/>
      <c r="G12" s="93">
        <v>4.8899999999999999E-2</v>
      </c>
      <c r="H12" s="93">
        <f>G12</f>
        <v>4.8899999999999999E-2</v>
      </c>
    </row>
    <row r="13" spans="2:14" ht="17.25" customHeight="1" x14ac:dyDescent="0.2">
      <c r="B13" s="87" t="s">
        <v>72</v>
      </c>
      <c r="C13" s="87"/>
      <c r="D13" s="87"/>
      <c r="E13" s="87"/>
      <c r="F13" s="87"/>
      <c r="G13" s="94">
        <f>SUM(G11:G12)</f>
        <v>9.4325143778240056E-2</v>
      </c>
      <c r="H13" s="94">
        <f>SUM(H11:H12)</f>
        <v>0.10568142972280006</v>
      </c>
    </row>
    <row r="14" spans="2:14" ht="17.25" customHeight="1" x14ac:dyDescent="0.2">
      <c r="B14" s="92" t="s">
        <v>73</v>
      </c>
      <c r="C14" s="88"/>
      <c r="D14" s="88"/>
      <c r="E14" s="88"/>
      <c r="F14" s="88"/>
      <c r="G14" s="89">
        <f>1-G29</f>
        <v>0.93226131157112679</v>
      </c>
      <c r="H14" s="89">
        <f>1-H29</f>
        <v>0.93226131157112679</v>
      </c>
    </row>
    <row r="15" spans="2:14" ht="17.25" customHeight="1" x14ac:dyDescent="0.2">
      <c r="B15" s="87" t="s">
        <v>74</v>
      </c>
      <c r="C15" s="87"/>
      <c r="D15" s="87"/>
      <c r="E15" s="87"/>
      <c r="F15" s="87"/>
      <c r="G15" s="94">
        <f>G13*G14</f>
        <v>8.7935682252837183E-2</v>
      </c>
      <c r="H15" s="94">
        <f>H13*H14</f>
        <v>9.852270828208945E-2</v>
      </c>
      <c r="L15" s="95"/>
      <c r="M15" s="95"/>
      <c r="N15" s="96" t="s">
        <v>211</v>
      </c>
    </row>
    <row r="16" spans="2:14" ht="9" customHeight="1" x14ac:dyDescent="0.2">
      <c r="B16" s="88"/>
      <c r="C16" s="88"/>
      <c r="D16" s="88"/>
      <c r="E16" s="88"/>
      <c r="F16" s="88"/>
      <c r="G16" s="88"/>
      <c r="H16" s="88"/>
    </row>
    <row r="17" spans="2:14" ht="17.25" customHeight="1" x14ac:dyDescent="0.2">
      <c r="B17" s="87" t="s">
        <v>75</v>
      </c>
      <c r="C17" s="87"/>
      <c r="D17" s="87"/>
      <c r="E17" s="87"/>
      <c r="F17" s="87"/>
      <c r="G17" s="97">
        <f>N19</f>
        <v>5.1856216853270479E-2</v>
      </c>
      <c r="H17" s="97">
        <f>G17</f>
        <v>5.1856216853270479E-2</v>
      </c>
      <c r="L17" s="81" t="s">
        <v>76</v>
      </c>
      <c r="N17" s="280">
        <f>Model!Q190*4</f>
        <v>176</v>
      </c>
    </row>
    <row r="18" spans="2:14" ht="17.25" customHeight="1" thickBot="1" x14ac:dyDescent="0.25">
      <c r="B18" s="88" t="s">
        <v>77</v>
      </c>
      <c r="C18" s="88"/>
      <c r="D18" s="88"/>
      <c r="E18" s="88"/>
      <c r="F18" s="88"/>
      <c r="G18" s="89">
        <v>0.15</v>
      </c>
      <c r="H18" s="89">
        <f>G18</f>
        <v>0.15</v>
      </c>
      <c r="L18" s="81" t="s">
        <v>78</v>
      </c>
      <c r="N18" s="81">
        <f>'[7]HWM- TSM'!$E$15</f>
        <v>3394</v>
      </c>
    </row>
    <row r="19" spans="2:14" ht="17.25" customHeight="1" thickBot="1" x14ac:dyDescent="0.25">
      <c r="B19" s="88" t="s">
        <v>79</v>
      </c>
      <c r="C19" s="88"/>
      <c r="D19" s="88"/>
      <c r="E19" s="88"/>
      <c r="F19" s="88"/>
      <c r="G19" s="93">
        <f>G17*(1-G18)</f>
        <v>4.4077784325279909E-2</v>
      </c>
      <c r="H19" s="93">
        <f>H17*(1-H18)</f>
        <v>4.4077784325279909E-2</v>
      </c>
      <c r="L19" s="98" t="s">
        <v>80</v>
      </c>
      <c r="M19" s="99"/>
      <c r="N19" s="100">
        <f>N17/N18</f>
        <v>5.1856216853270479E-2</v>
      </c>
    </row>
    <row r="20" spans="2:14" ht="17.25" customHeight="1" x14ac:dyDescent="0.2">
      <c r="B20" s="92" t="s">
        <v>81</v>
      </c>
      <c r="C20" s="88"/>
      <c r="D20" s="88"/>
      <c r="E20" s="88"/>
      <c r="F20" s="88"/>
      <c r="G20" s="89">
        <f>1-G14</f>
        <v>6.7738688428873206E-2</v>
      </c>
      <c r="H20" s="89">
        <f>1-H14</f>
        <v>6.7738688428873206E-2</v>
      </c>
    </row>
    <row r="21" spans="2:14" ht="17.25" customHeight="1" x14ac:dyDescent="0.2">
      <c r="B21" s="87" t="s">
        <v>82</v>
      </c>
      <c r="C21" s="87"/>
      <c r="D21" s="87"/>
      <c r="E21" s="87"/>
      <c r="F21" s="87"/>
      <c r="G21" s="94">
        <f>G19*G20</f>
        <v>2.9857712990452069E-3</v>
      </c>
      <c r="H21" s="94">
        <f>H19*H20</f>
        <v>2.9857712990452069E-3</v>
      </c>
    </row>
    <row r="22" spans="2:14" ht="9" customHeight="1" x14ac:dyDescent="0.2">
      <c r="B22" s="87"/>
      <c r="C22" s="87"/>
      <c r="D22" s="87"/>
      <c r="E22" s="87"/>
      <c r="F22" s="87"/>
      <c r="G22" s="97"/>
      <c r="H22" s="97"/>
    </row>
    <row r="23" spans="2:14" ht="17.25" customHeight="1" x14ac:dyDescent="0.2">
      <c r="B23" s="101" t="s">
        <v>83</v>
      </c>
      <c r="C23" s="102"/>
      <c r="D23" s="102"/>
      <c r="E23" s="102"/>
      <c r="F23" s="102"/>
      <c r="G23" s="103">
        <f>G21+G15</f>
        <v>9.0921453551882386E-2</v>
      </c>
      <c r="H23" s="104">
        <f>H21+H15</f>
        <v>0.10150847958113465</v>
      </c>
      <c r="J23" s="105"/>
    </row>
    <row r="24" spans="2:14" ht="17.25" customHeight="1" x14ac:dyDescent="0.2"/>
    <row r="25" spans="2:14" ht="17.25" customHeight="1" x14ac:dyDescent="0.2">
      <c r="B25" s="80" t="s">
        <v>84</v>
      </c>
      <c r="G25" s="106">
        <f>AVERAGE(G23:H23)</f>
        <v>9.621496656650852E-2</v>
      </c>
    </row>
    <row r="26" spans="2:14" ht="17.25" customHeight="1" x14ac:dyDescent="0.2">
      <c r="G26" s="105"/>
    </row>
    <row r="27" spans="2:14" ht="17.25" customHeight="1" x14ac:dyDescent="0.2">
      <c r="B27" s="107" t="s">
        <v>85</v>
      </c>
      <c r="C27" s="107"/>
      <c r="D27" s="107"/>
      <c r="E27" s="107"/>
      <c r="F27" s="107"/>
      <c r="G27" s="107"/>
      <c r="H27" s="107"/>
    </row>
    <row r="28" spans="2:14" ht="17.25" customHeight="1" x14ac:dyDescent="0.2">
      <c r="B28" s="81" t="s">
        <v>86</v>
      </c>
      <c r="G28" s="108">
        <f>H28</f>
        <v>7.2660623784456063E-2</v>
      </c>
      <c r="H28" s="108">
        <f>'Beta Determination'!K45</f>
        <v>7.2660623784456063E-2</v>
      </c>
    </row>
    <row r="29" spans="2:14" ht="17.25" customHeight="1" x14ac:dyDescent="0.2">
      <c r="B29" s="81" t="s">
        <v>87</v>
      </c>
      <c r="G29" s="108">
        <f>G28/(1+G28)</f>
        <v>6.773868842887322E-2</v>
      </c>
      <c r="H29" s="108">
        <f>H28/(1+H28)</f>
        <v>6.773868842887322E-2</v>
      </c>
    </row>
  </sheetData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B7EDD-E945-4D4A-96FA-601C5611960D}">
  <sheetPr>
    <tabColor theme="4"/>
  </sheetPr>
  <dimension ref="A3:M46"/>
  <sheetViews>
    <sheetView showGridLines="0" zoomScale="86" zoomScaleNormal="115" workbookViewId="0">
      <selection activeCell="N34" sqref="N34"/>
    </sheetView>
  </sheetViews>
  <sheetFormatPr defaultRowHeight="12.75" outlineLevelRow="2" x14ac:dyDescent="0.2"/>
  <cols>
    <col min="1" max="6" width="9.140625" style="81"/>
    <col min="7" max="7" width="15.140625" style="81" customWidth="1"/>
    <col min="8" max="8" width="13.140625" style="81" customWidth="1"/>
    <col min="9" max="10" width="11.140625" style="81" customWidth="1"/>
    <col min="11" max="16384" width="9.140625" style="81"/>
  </cols>
  <sheetData>
    <row r="3" spans="1:13" x14ac:dyDescent="0.2">
      <c r="A3" s="109" t="s">
        <v>219</v>
      </c>
      <c r="B3" s="110"/>
      <c r="C3" s="110"/>
      <c r="D3" s="111">
        <v>0.25</v>
      </c>
    </row>
    <row r="6" spans="1:13" x14ac:dyDescent="0.2">
      <c r="C6" s="112"/>
      <c r="D6" s="112"/>
      <c r="E6" s="112"/>
      <c r="F6" s="277"/>
      <c r="G6" s="277"/>
      <c r="H6" s="277"/>
      <c r="I6" s="277"/>
      <c r="J6" s="277"/>
      <c r="K6" s="277"/>
    </row>
    <row r="7" spans="1:13" ht="62.25" customHeight="1" x14ac:dyDescent="0.2">
      <c r="C7" s="112"/>
      <c r="D7" s="112"/>
      <c r="E7" s="112"/>
      <c r="F7" s="278"/>
      <c r="G7" s="279" t="s">
        <v>88</v>
      </c>
      <c r="H7" s="279" t="s">
        <v>89</v>
      </c>
      <c r="I7" s="278" t="s">
        <v>90</v>
      </c>
      <c r="J7" s="278"/>
      <c r="K7" s="278"/>
    </row>
    <row r="8" spans="1:13" x14ac:dyDescent="0.2">
      <c r="C8" s="113" t="s">
        <v>91</v>
      </c>
      <c r="D8" s="113"/>
      <c r="E8" s="113"/>
      <c r="F8" s="114" t="s">
        <v>92</v>
      </c>
      <c r="G8" s="114"/>
      <c r="H8" s="114"/>
      <c r="I8" s="114" t="s">
        <v>93</v>
      </c>
      <c r="J8" s="114" t="s">
        <v>94</v>
      </c>
      <c r="K8" s="114" t="s">
        <v>92</v>
      </c>
      <c r="M8" s="107" t="s">
        <v>95</v>
      </c>
    </row>
    <row r="9" spans="1:13" ht="5.25" customHeight="1" thickBot="1" x14ac:dyDescent="0.25"/>
    <row r="10" spans="1:13" ht="13.5" outlineLevel="1" thickBot="1" x14ac:dyDescent="0.25">
      <c r="C10" s="115" t="s">
        <v>210</v>
      </c>
      <c r="D10" s="116"/>
      <c r="E10" s="116"/>
      <c r="F10" s="117">
        <v>1.3</v>
      </c>
      <c r="G10" s="118">
        <f>'[7]HWM- TSM'!$E$14</f>
        <v>45069.947728669998</v>
      </c>
      <c r="H10" s="118">
        <f>'[7]HWM- TSM'!$E$15</f>
        <v>3394</v>
      </c>
      <c r="I10" s="119">
        <f>H10/G10</f>
        <v>7.5305168322638213E-2</v>
      </c>
      <c r="J10" s="119">
        <f>H10/(H10+G10)</f>
        <v>7.0031439019405325E-2</v>
      </c>
      <c r="K10" s="120">
        <f>F10/(1+($I10*(1-($M10))))</f>
        <v>1.2305025961562575</v>
      </c>
      <c r="M10" s="121">
        <v>0.25</v>
      </c>
    </row>
    <row r="11" spans="1:13" ht="5.25" customHeight="1" outlineLevel="1" x14ac:dyDescent="0.2">
      <c r="F11" s="122"/>
      <c r="G11" s="123"/>
      <c r="H11" s="123"/>
      <c r="M11" s="121"/>
    </row>
    <row r="12" spans="1:13" outlineLevel="1" x14ac:dyDescent="0.2">
      <c r="C12" s="192" t="s">
        <v>96</v>
      </c>
      <c r="D12" s="192"/>
      <c r="E12" s="192"/>
      <c r="F12" s="193"/>
      <c r="G12" s="194"/>
      <c r="H12" s="194"/>
      <c r="I12" s="192"/>
      <c r="J12" s="192"/>
      <c r="K12" s="192"/>
      <c r="M12" s="121"/>
    </row>
    <row r="13" spans="1:13" outlineLevel="1" x14ac:dyDescent="0.2">
      <c r="C13" s="81" t="s">
        <v>97</v>
      </c>
      <c r="F13" s="124">
        <v>1.39</v>
      </c>
      <c r="G13" s="123">
        <f>ROIC!F12</f>
        <v>75595.824238110014</v>
      </c>
      <c r="H13" s="123">
        <f>'TDG - TSM'!E16</f>
        <v>24880</v>
      </c>
      <c r="I13" s="108">
        <f t="shared" ref="I13" si="0">H13/G13</f>
        <v>0.32911870795447035</v>
      </c>
      <c r="J13" s="108">
        <f t="shared" ref="J13" si="1">H13/(H13+G13)</f>
        <v>0.24762175566769953</v>
      </c>
      <c r="K13" s="122">
        <f>F13/(1+($I13*(1-($M13))))</f>
        <v>1.1148191269912755</v>
      </c>
      <c r="M13" s="121">
        <v>0.25</v>
      </c>
    </row>
    <row r="14" spans="1:13" outlineLevel="1" x14ac:dyDescent="0.2">
      <c r="C14" s="81" t="s">
        <v>213</v>
      </c>
      <c r="F14" s="124">
        <v>1.26</v>
      </c>
      <c r="G14" s="123">
        <f>ROIC!F7</f>
        <v>33662.578509899999</v>
      </c>
      <c r="H14" s="123">
        <f>'HEI- TSM'!E15</f>
        <v>2229.3739999999998</v>
      </c>
      <c r="I14" s="108">
        <f t="shared" ref="I14:I15" si="2">H14/G14</f>
        <v>6.6227071682709984E-2</v>
      </c>
      <c r="J14" s="108">
        <f t="shared" ref="J14:J15" si="3">H14/(H14+G14)</f>
        <v>6.2113477927540336E-2</v>
      </c>
      <c r="K14" s="122">
        <f t="shared" ref="K14:K15" si="4">F14/(1+($I14*(1-($M14))))</f>
        <v>1.2003769140501956</v>
      </c>
      <c r="M14" s="121">
        <f>M13</f>
        <v>0.25</v>
      </c>
    </row>
    <row r="15" spans="1:13" outlineLevel="1" x14ac:dyDescent="0.2">
      <c r="C15" s="81" t="s">
        <v>214</v>
      </c>
      <c r="F15" s="124">
        <v>1.1599999999999999</v>
      </c>
      <c r="G15" s="123">
        <f>ROIC!F5</f>
        <v>42663.614194800008</v>
      </c>
      <c r="H15" s="123">
        <f>'AME - TSM'!E16</f>
        <v>2336.5340000000001</v>
      </c>
      <c r="I15" s="108">
        <f t="shared" si="2"/>
        <v>5.4766433742146139E-2</v>
      </c>
      <c r="J15" s="108">
        <f t="shared" si="3"/>
        <v>5.1922806784667395E-2</v>
      </c>
      <c r="K15" s="122">
        <f t="shared" si="4"/>
        <v>1.1142330712476554</v>
      </c>
      <c r="M15" s="121">
        <f t="shared" ref="M15" si="5">M14</f>
        <v>0.25</v>
      </c>
    </row>
    <row r="16" spans="1:13" outlineLevel="2" x14ac:dyDescent="0.2">
      <c r="C16" s="125" t="s">
        <v>98</v>
      </c>
      <c r="D16" s="126"/>
      <c r="E16" s="126"/>
      <c r="F16" s="127">
        <f t="shared" ref="F16:K16" si="6">AVERAGE(F13:F15)</f>
        <v>1.2699999999999998</v>
      </c>
      <c r="G16" s="128">
        <f t="shared" si="6"/>
        <v>50640.672314269999</v>
      </c>
      <c r="H16" s="128">
        <f t="shared" si="6"/>
        <v>9815.3026666666665</v>
      </c>
      <c r="I16" s="129">
        <f t="shared" si="6"/>
        <v>0.15003740445977548</v>
      </c>
      <c r="J16" s="129">
        <f t="shared" si="6"/>
        <v>0.12055268012663574</v>
      </c>
      <c r="K16" s="151">
        <f t="shared" si="6"/>
        <v>1.1431430374297087</v>
      </c>
      <c r="M16" s="121"/>
    </row>
    <row r="17" spans="3:13" outlineLevel="2" x14ac:dyDescent="0.2">
      <c r="C17" s="130" t="s">
        <v>99</v>
      </c>
      <c r="D17" s="131"/>
      <c r="E17" s="131"/>
      <c r="F17" s="132">
        <f t="shared" ref="F17:K17" si="7">MEDIAN(F13:F15)</f>
        <v>1.26</v>
      </c>
      <c r="G17" s="133">
        <f t="shared" si="7"/>
        <v>42663.614194800008</v>
      </c>
      <c r="H17" s="133">
        <f t="shared" si="7"/>
        <v>2336.5340000000001</v>
      </c>
      <c r="I17" s="134">
        <f t="shared" si="7"/>
        <v>6.6227071682709984E-2</v>
      </c>
      <c r="J17" s="134">
        <f t="shared" si="7"/>
        <v>6.2113477927540336E-2</v>
      </c>
      <c r="K17" s="135">
        <f t="shared" si="7"/>
        <v>1.1148191269912755</v>
      </c>
      <c r="M17" s="121"/>
    </row>
    <row r="18" spans="3:13" outlineLevel="2" x14ac:dyDescent="0.2">
      <c r="F18" s="122"/>
      <c r="G18" s="123"/>
      <c r="H18" s="123"/>
      <c r="M18" s="121"/>
    </row>
    <row r="19" spans="3:13" outlineLevel="2" x14ac:dyDescent="0.2">
      <c r="C19" s="136"/>
      <c r="D19" s="137"/>
      <c r="E19" s="137"/>
      <c r="F19" s="138"/>
      <c r="G19" s="139"/>
      <c r="H19" s="139"/>
      <c r="I19" s="137"/>
      <c r="J19" s="137"/>
      <c r="K19" s="140"/>
      <c r="M19" s="121"/>
    </row>
    <row r="20" spans="3:13" outlineLevel="2" x14ac:dyDescent="0.2">
      <c r="C20" s="141" t="s">
        <v>100</v>
      </c>
      <c r="D20" s="112"/>
      <c r="E20" s="112"/>
      <c r="F20" s="142"/>
      <c r="G20" s="143"/>
      <c r="H20" s="143"/>
      <c r="I20" s="112"/>
      <c r="J20" s="112"/>
      <c r="K20" s="144">
        <f>MAX(K17:K17)</f>
        <v>1.1148191269912755</v>
      </c>
      <c r="M20" s="121"/>
    </row>
    <row r="21" spans="3:13" outlineLevel="2" x14ac:dyDescent="0.2">
      <c r="C21" s="141" t="s">
        <v>101</v>
      </c>
      <c r="D21" s="112"/>
      <c r="E21" s="112"/>
      <c r="F21" s="142"/>
      <c r="G21" s="143"/>
      <c r="H21" s="143"/>
      <c r="I21" s="112"/>
      <c r="J21" s="112"/>
      <c r="K21" s="145">
        <f>I17</f>
        <v>6.6227071682709984E-2</v>
      </c>
      <c r="M21" s="121"/>
    </row>
    <row r="22" spans="3:13" outlineLevel="2" x14ac:dyDescent="0.2">
      <c r="C22" s="146" t="s">
        <v>102</v>
      </c>
      <c r="D22" s="147"/>
      <c r="E22" s="147"/>
      <c r="F22" s="148"/>
      <c r="G22" s="149"/>
      <c r="H22" s="149"/>
      <c r="I22" s="147"/>
      <c r="J22" s="147"/>
      <c r="K22" s="150">
        <f>K20*(1+(K21*(1-$D$3)))</f>
        <v>1.1701925316686561</v>
      </c>
      <c r="M22" s="121"/>
    </row>
    <row r="23" spans="3:13" ht="5.25" customHeight="1" outlineLevel="1" x14ac:dyDescent="0.2">
      <c r="F23" s="122"/>
      <c r="G23" s="123"/>
      <c r="H23" s="123"/>
      <c r="M23" s="121"/>
    </row>
    <row r="24" spans="3:13" outlineLevel="1" x14ac:dyDescent="0.2">
      <c r="C24" s="192" t="s">
        <v>212</v>
      </c>
      <c r="D24" s="192"/>
      <c r="E24" s="192"/>
      <c r="F24" s="193"/>
      <c r="G24" s="194"/>
      <c r="H24" s="194"/>
      <c r="I24" s="192"/>
      <c r="J24" s="192"/>
      <c r="K24" s="192"/>
      <c r="M24" s="121"/>
    </row>
    <row r="25" spans="3:13" outlineLevel="1" x14ac:dyDescent="0.2">
      <c r="C25" s="81" t="s">
        <v>215</v>
      </c>
      <c r="F25" s="122">
        <v>1.24</v>
      </c>
      <c r="G25" s="123">
        <f>ROIC!F6</f>
        <v>45057.954153279999</v>
      </c>
      <c r="H25" s="123">
        <f>'APH - TSM'!E15</f>
        <v>2909.6</v>
      </c>
      <c r="I25" s="108">
        <f>H25/G25</f>
        <v>6.4574614064855304E-2</v>
      </c>
      <c r="J25" s="108">
        <f>H25/(H25+G25)</f>
        <v>6.0657668529489589E-2</v>
      </c>
      <c r="K25" s="122">
        <f>F25/(1+($I25*(1-($M25))))</f>
        <v>1.1827197466117472</v>
      </c>
      <c r="M25" s="121">
        <f>$M$15</f>
        <v>0.25</v>
      </c>
    </row>
    <row r="26" spans="3:13" outlineLevel="1" x14ac:dyDescent="0.2">
      <c r="C26" s="81" t="s">
        <v>216</v>
      </c>
      <c r="F26" s="122">
        <v>0.95</v>
      </c>
      <c r="G26" s="123">
        <f>ROIC!F8</f>
        <v>16159.72806161</v>
      </c>
      <c r="H26" s="123">
        <f>'IEX- TSM'!E16</f>
        <v>2075.1</v>
      </c>
      <c r="I26" s="108">
        <f>H26/G26</f>
        <v>0.1284118143627509</v>
      </c>
      <c r="J26" s="108">
        <f>H26/(H26+G26)</f>
        <v>0.11379871490912123</v>
      </c>
      <c r="K26" s="122">
        <f>F26/(1+($I26*(1-($M26))))</f>
        <v>0.86654412273104597</v>
      </c>
      <c r="M26" s="121">
        <f t="shared" ref="M26:M28" si="8">$M$15</f>
        <v>0.25</v>
      </c>
    </row>
    <row r="27" spans="3:13" outlineLevel="1" x14ac:dyDescent="0.2">
      <c r="C27" s="81" t="s">
        <v>218</v>
      </c>
      <c r="F27" s="122">
        <v>1.03</v>
      </c>
      <c r="G27" s="123">
        <f>ROIC!F11</f>
        <v>134140.61600000001</v>
      </c>
      <c r="H27" s="123">
        <f>'ETN - TSM'!E15</f>
        <v>9392</v>
      </c>
      <c r="I27" s="108">
        <f>H27/G27</f>
        <v>7.0016079246273927E-2</v>
      </c>
      <c r="J27" s="108">
        <f>H27/(H27+G27)</f>
        <v>6.5434604773036392E-2</v>
      </c>
      <c r="K27" s="122">
        <f>F27/(1+($I27*(1-($M27))))</f>
        <v>0.97861111496737008</v>
      </c>
      <c r="M27" s="121">
        <f t="shared" si="8"/>
        <v>0.25</v>
      </c>
    </row>
    <row r="28" spans="3:13" outlineLevel="1" x14ac:dyDescent="0.2">
      <c r="C28" s="81" t="s">
        <v>217</v>
      </c>
      <c r="F28" s="122">
        <v>1.03</v>
      </c>
      <c r="G28" s="123">
        <f>ROIC!F9</f>
        <v>56981.314515399994</v>
      </c>
      <c r="H28" s="123">
        <f>'ROP- TSM'!E15</f>
        <v>8376.6</v>
      </c>
      <c r="I28" s="108">
        <f>H28/G28</f>
        <v>0.14700608561313741</v>
      </c>
      <c r="J28" s="108">
        <f>H28/(H28+G28)</f>
        <v>0.12816504415890229</v>
      </c>
      <c r="K28" s="122">
        <f>F28/(1+($I28*(1-($M28))))</f>
        <v>0.92771516839746682</v>
      </c>
      <c r="M28" s="121">
        <f t="shared" si="8"/>
        <v>0.25</v>
      </c>
    </row>
    <row r="29" spans="3:13" outlineLevel="2" x14ac:dyDescent="0.2">
      <c r="C29" s="125" t="s">
        <v>98</v>
      </c>
      <c r="D29" s="126"/>
      <c r="E29" s="126"/>
      <c r="F29" s="127">
        <f t="shared" ref="F29:K29" si="9">AVERAGE(F25:F28)</f>
        <v>1.0625</v>
      </c>
      <c r="G29" s="128">
        <f t="shared" si="9"/>
        <v>63084.903182572496</v>
      </c>
      <c r="H29" s="128">
        <f t="shared" si="9"/>
        <v>5688.3250000000007</v>
      </c>
      <c r="I29" s="129">
        <f t="shared" si="9"/>
        <v>0.10250214832175439</v>
      </c>
      <c r="J29" s="129">
        <f t="shared" si="9"/>
        <v>9.2014008092637378E-2</v>
      </c>
      <c r="K29" s="151">
        <f t="shared" si="9"/>
        <v>0.98889753817690751</v>
      </c>
    </row>
    <row r="30" spans="3:13" outlineLevel="2" x14ac:dyDescent="0.2">
      <c r="C30" s="130" t="s">
        <v>99</v>
      </c>
      <c r="D30" s="131"/>
      <c r="E30" s="131"/>
      <c r="F30" s="132">
        <f t="shared" ref="F30:K30" si="10">MEDIAN(F25:F28)</f>
        <v>1.03</v>
      </c>
      <c r="G30" s="133">
        <f t="shared" si="10"/>
        <v>51019.634334339993</v>
      </c>
      <c r="H30" s="133">
        <f t="shared" si="10"/>
        <v>5643.1</v>
      </c>
      <c r="I30" s="134">
        <f t="shared" si="10"/>
        <v>9.9213946804512412E-2</v>
      </c>
      <c r="J30" s="134">
        <f t="shared" si="10"/>
        <v>8.9616659841078805E-2</v>
      </c>
      <c r="K30" s="135">
        <f t="shared" si="10"/>
        <v>0.95316314168241845</v>
      </c>
    </row>
    <row r="31" spans="3:13" outlineLevel="2" x14ac:dyDescent="0.2">
      <c r="F31" s="122"/>
      <c r="G31" s="123"/>
      <c r="H31" s="123"/>
    </row>
    <row r="32" spans="3:13" outlineLevel="2" x14ac:dyDescent="0.2">
      <c r="C32" s="136"/>
      <c r="D32" s="137"/>
      <c r="E32" s="137"/>
      <c r="F32" s="138"/>
      <c r="G32" s="139"/>
      <c r="H32" s="139"/>
      <c r="I32" s="137"/>
      <c r="J32" s="137"/>
      <c r="K32" s="140"/>
    </row>
    <row r="33" spans="3:11" outlineLevel="2" x14ac:dyDescent="0.2">
      <c r="C33" s="141" t="s">
        <v>100</v>
      </c>
      <c r="D33" s="112"/>
      <c r="E33" s="112"/>
      <c r="F33" s="142"/>
      <c r="G33" s="143"/>
      <c r="H33" s="143"/>
      <c r="I33" s="112"/>
      <c r="J33" s="112"/>
      <c r="K33" s="144">
        <f>MAX(K30:K30)</f>
        <v>0.95316314168241845</v>
      </c>
    </row>
    <row r="34" spans="3:11" outlineLevel="2" x14ac:dyDescent="0.2">
      <c r="C34" s="141" t="s">
        <v>101</v>
      </c>
      <c r="D34" s="112"/>
      <c r="E34" s="112"/>
      <c r="F34" s="142"/>
      <c r="G34" s="143"/>
      <c r="H34" s="143"/>
      <c r="I34" s="112"/>
      <c r="J34" s="112"/>
      <c r="K34" s="145">
        <f>I29</f>
        <v>0.10250214832175439</v>
      </c>
    </row>
    <row r="35" spans="3:11" outlineLevel="2" x14ac:dyDescent="0.2">
      <c r="C35" s="146" t="s">
        <v>102</v>
      </c>
      <c r="D35" s="147"/>
      <c r="E35" s="147"/>
      <c r="F35" s="148"/>
      <c r="G35" s="149"/>
      <c r="H35" s="149"/>
      <c r="I35" s="147"/>
      <c r="J35" s="147"/>
      <c r="K35" s="150">
        <f>K33*(1+(K34*(1-$D$3)))</f>
        <v>1.0264390939750889</v>
      </c>
    </row>
    <row r="36" spans="3:11" ht="5.25" customHeight="1" x14ac:dyDescent="0.2">
      <c r="F36" s="152"/>
      <c r="G36" s="153"/>
      <c r="H36" s="153"/>
      <c r="K36" s="154"/>
    </row>
    <row r="37" spans="3:11" ht="5.25" customHeight="1" x14ac:dyDescent="0.2"/>
    <row r="38" spans="3:11" x14ac:dyDescent="0.2">
      <c r="C38" s="192" t="s">
        <v>103</v>
      </c>
      <c r="D38" s="192"/>
      <c r="E38" s="192"/>
      <c r="F38" s="193"/>
      <c r="G38" s="194"/>
      <c r="H38" s="194"/>
      <c r="I38" s="192"/>
      <c r="J38" s="192"/>
      <c r="K38" s="192"/>
    </row>
    <row r="39" spans="3:11" ht="5.25" customHeight="1" x14ac:dyDescent="0.2"/>
    <row r="40" spans="3:11" x14ac:dyDescent="0.2">
      <c r="C40" s="125" t="s">
        <v>98</v>
      </c>
      <c r="D40" s="126"/>
      <c r="E40" s="126"/>
      <c r="F40" s="127">
        <f>AVERAGE(F10,F13,F14,F15,F25,F26,F27,F28)</f>
        <v>1.17</v>
      </c>
      <c r="G40" s="128">
        <f t="shared" ref="G40:K40" si="11">AVERAGE(G10,G13,G14,G15,G25,G26,G27,G28)</f>
        <v>56166.447175221248</v>
      </c>
      <c r="H40" s="128">
        <f t="shared" si="11"/>
        <v>6949.1509999999998</v>
      </c>
      <c r="I40" s="129">
        <f t="shared" si="11"/>
        <v>0.11692824687362278</v>
      </c>
      <c r="J40" s="129">
        <f t="shared" si="11"/>
        <v>9.996818897123276E-2</v>
      </c>
      <c r="K40" s="151">
        <f t="shared" si="11"/>
        <v>1.0769402326441269</v>
      </c>
    </row>
    <row r="41" spans="3:11" x14ac:dyDescent="0.2">
      <c r="C41" s="130" t="s">
        <v>99</v>
      </c>
      <c r="D41" s="131"/>
      <c r="E41" s="131"/>
      <c r="F41" s="132">
        <f>MEDIAN(F10,F13,F14,F15,F25,F26,F27,F28)</f>
        <v>1.2</v>
      </c>
      <c r="G41" s="133">
        <f t="shared" ref="G41:K41" si="12">MEDIAN(G10,G13,G14,G15,G25,G26,G27,G28)</f>
        <v>45063.950940975003</v>
      </c>
      <c r="H41" s="133">
        <f t="shared" si="12"/>
        <v>3151.8</v>
      </c>
      <c r="I41" s="134">
        <f t="shared" si="12"/>
        <v>7.2660623784456063E-2</v>
      </c>
      <c r="J41" s="134">
        <f t="shared" si="12"/>
        <v>6.7733021896220852E-2</v>
      </c>
      <c r="K41" s="135">
        <f t="shared" si="12"/>
        <v>1.1145260991194654</v>
      </c>
    </row>
    <row r="42" spans="3:11" ht="5.25" customHeight="1" x14ac:dyDescent="0.2"/>
    <row r="43" spans="3:11" x14ac:dyDescent="0.2">
      <c r="C43" s="136"/>
      <c r="D43" s="137"/>
      <c r="E43" s="137"/>
      <c r="F43" s="138"/>
      <c r="G43" s="139"/>
      <c r="H43" s="139"/>
      <c r="I43" s="137"/>
      <c r="J43" s="137"/>
      <c r="K43" s="140"/>
    </row>
    <row r="44" spans="3:11" x14ac:dyDescent="0.2">
      <c r="C44" s="141" t="s">
        <v>100</v>
      </c>
      <c r="D44" s="112"/>
      <c r="E44" s="112"/>
      <c r="F44" s="142"/>
      <c r="G44" s="143"/>
      <c r="H44" s="143"/>
      <c r="I44" s="112"/>
      <c r="J44" s="112"/>
      <c r="K44" s="144">
        <f>K40</f>
        <v>1.0769402326441269</v>
      </c>
    </row>
    <row r="45" spans="3:11" x14ac:dyDescent="0.2">
      <c r="C45" s="141" t="s">
        <v>101</v>
      </c>
      <c r="D45" s="112"/>
      <c r="E45" s="112"/>
      <c r="F45" s="142"/>
      <c r="G45" s="143"/>
      <c r="H45" s="143"/>
      <c r="I45" s="112"/>
      <c r="J45" s="112"/>
      <c r="K45" s="145">
        <f>I41</f>
        <v>7.2660623784456063E-2</v>
      </c>
    </row>
    <row r="46" spans="3:11" x14ac:dyDescent="0.2">
      <c r="C46" s="146" t="s">
        <v>102</v>
      </c>
      <c r="D46" s="147"/>
      <c r="E46" s="147"/>
      <c r="F46" s="148"/>
      <c r="G46" s="149"/>
      <c r="H46" s="149"/>
      <c r="I46" s="147"/>
      <c r="J46" s="147"/>
      <c r="K46" s="155">
        <f>K44*(1+(K45*(1-$D$3)))</f>
        <v>1.1356285944560014</v>
      </c>
    </row>
  </sheetData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2C1D6-F5A3-4744-880D-DC175A5F7BF7}">
  <sheetPr>
    <tabColor theme="6"/>
  </sheetPr>
  <dimension ref="B4:H37"/>
  <sheetViews>
    <sheetView showGridLines="0" workbookViewId="0">
      <selection activeCell="K29" sqref="K29"/>
    </sheetView>
  </sheetViews>
  <sheetFormatPr defaultRowHeight="15" x14ac:dyDescent="0.25"/>
  <cols>
    <col min="2" max="2" width="22.5703125" bestFit="1" customWidth="1"/>
    <col min="3" max="5" width="11.5703125" bestFit="1" customWidth="1"/>
    <col min="6" max="6" width="11.5703125" customWidth="1"/>
  </cols>
  <sheetData>
    <row r="4" spans="2:6" x14ac:dyDescent="0.25">
      <c r="B4" s="284"/>
      <c r="C4" s="331">
        <v>45657</v>
      </c>
      <c r="D4" s="331">
        <v>46022</v>
      </c>
      <c r="E4" s="331">
        <v>46387</v>
      </c>
      <c r="F4" s="331" t="s">
        <v>516</v>
      </c>
    </row>
    <row r="6" spans="2:6" x14ac:dyDescent="0.25">
      <c r="B6" s="325" t="s">
        <v>430</v>
      </c>
      <c r="D6" s="326">
        <f>Model!AC171</f>
        <v>2758.9969021344018</v>
      </c>
      <c r="E6" s="326">
        <f>Model!AD171</f>
        <v>3259.2743284303174</v>
      </c>
      <c r="F6" s="326">
        <f>E6</f>
        <v>3259.2743284303174</v>
      </c>
    </row>
    <row r="7" spans="2:6" ht="3.75" customHeight="1" x14ac:dyDescent="0.25">
      <c r="B7" s="325"/>
      <c r="C7" s="325"/>
      <c r="D7" s="326"/>
      <c r="E7" s="326"/>
      <c r="F7" s="325"/>
    </row>
    <row r="8" spans="2:6" x14ac:dyDescent="0.25">
      <c r="B8" t="s">
        <v>428</v>
      </c>
      <c r="D8" s="260">
        <v>25.4</v>
      </c>
      <c r="E8" s="260">
        <f>D8</f>
        <v>25.4</v>
      </c>
    </row>
    <row r="9" spans="2:6" x14ac:dyDescent="0.25">
      <c r="B9" t="s">
        <v>429</v>
      </c>
      <c r="C9" s="260"/>
      <c r="D9" s="260">
        <v>19.399999999999999</v>
      </c>
      <c r="E9" s="260">
        <f>D9</f>
        <v>19.399999999999999</v>
      </c>
      <c r="F9" s="260">
        <v>15</v>
      </c>
    </row>
    <row r="10" spans="2:6" x14ac:dyDescent="0.25">
      <c r="B10" s="272" t="s">
        <v>427</v>
      </c>
      <c r="C10" s="272"/>
      <c r="D10" s="328">
        <f>AVERAGE(D8:D9)</f>
        <v>22.4</v>
      </c>
      <c r="E10" s="328">
        <f>AVERAGE(E8:E9)</f>
        <v>22.4</v>
      </c>
      <c r="F10" s="328">
        <f>F9</f>
        <v>15</v>
      </c>
    </row>
    <row r="11" spans="2:6" ht="3.75" customHeight="1" x14ac:dyDescent="0.25">
      <c r="B11" s="325"/>
      <c r="C11" s="325"/>
      <c r="D11" s="326"/>
      <c r="E11" s="326"/>
      <c r="F11" s="325"/>
    </row>
    <row r="12" spans="2:6" x14ac:dyDescent="0.25">
      <c r="B12" s="262" t="s">
        <v>333</v>
      </c>
      <c r="C12" s="262"/>
      <c r="D12" s="276">
        <f>D$6*D10</f>
        <v>61801.530607810593</v>
      </c>
      <c r="E12" s="276">
        <f>E$6*E10</f>
        <v>73007.744956839102</v>
      </c>
      <c r="F12" s="276">
        <f>F$6*F10</f>
        <v>48889.114926454764</v>
      </c>
    </row>
    <row r="13" spans="2:6" x14ac:dyDescent="0.25">
      <c r="B13" t="s">
        <v>47</v>
      </c>
      <c r="D13" s="229">
        <f>SUM(Model!AB235-Model!AB211)</f>
        <v>2192.4537471943622</v>
      </c>
      <c r="E13" s="229">
        <f>SUM(Model!AC235-Model!AC211)</f>
        <v>1307.3957958491847</v>
      </c>
      <c r="F13" s="229">
        <f>SUM(Model!AD235-Model!AD211)</f>
        <v>-25.968006038843669</v>
      </c>
    </row>
    <row r="14" spans="2:6" ht="3.75" customHeight="1" x14ac:dyDescent="0.25">
      <c r="B14" s="325"/>
      <c r="C14" s="325"/>
      <c r="D14" s="326"/>
      <c r="E14" s="326"/>
      <c r="F14" s="326"/>
    </row>
    <row r="15" spans="2:6" x14ac:dyDescent="0.25">
      <c r="B15" s="272" t="s">
        <v>422</v>
      </c>
      <c r="C15" s="272"/>
      <c r="D15" s="275">
        <f>D12-D$13</f>
        <v>59609.076860616231</v>
      </c>
      <c r="E15" s="275">
        <f>E12-E$13</f>
        <v>71700.349160989921</v>
      </c>
      <c r="F15" s="275">
        <f>F12-F$13</f>
        <v>48915.082932493606</v>
      </c>
    </row>
    <row r="16" spans="2:6" x14ac:dyDescent="0.25">
      <c r="B16" t="s">
        <v>48</v>
      </c>
      <c r="D16" s="229">
        <f>Model!AB199</f>
        <v>410.50412794369754</v>
      </c>
      <c r="E16" s="229">
        <f>Model!AC199</f>
        <v>410.50412794369754</v>
      </c>
      <c r="F16" s="229">
        <f>Model!AD199</f>
        <v>410.50412794369754</v>
      </c>
    </row>
    <row r="17" spans="2:6" ht="3.75" customHeight="1" x14ac:dyDescent="0.25">
      <c r="B17" s="325"/>
      <c r="C17" s="325"/>
      <c r="D17" s="326"/>
      <c r="E17" s="326"/>
      <c r="F17" s="326"/>
    </row>
    <row r="18" spans="2:6" x14ac:dyDescent="0.25">
      <c r="B18" t="s">
        <v>358</v>
      </c>
      <c r="D18" s="271">
        <f>D15/D$16</f>
        <v>145.20944566187623</v>
      </c>
      <c r="E18" s="271">
        <f>E15/E$16</f>
        <v>174.66413680211261</v>
      </c>
      <c r="F18" s="271">
        <f>F15/F$16</f>
        <v>119.15856529267965</v>
      </c>
    </row>
    <row r="19" spans="2:6" ht="3.75" customHeight="1" x14ac:dyDescent="0.25">
      <c r="B19" s="325"/>
      <c r="C19" s="325"/>
      <c r="D19" s="326"/>
      <c r="E19" s="326"/>
      <c r="F19" s="326"/>
    </row>
    <row r="20" spans="2:6" x14ac:dyDescent="0.25">
      <c r="B20" t="s">
        <v>416</v>
      </c>
      <c r="C20" s="225">
        <f>C22/C21</f>
        <v>0.44951901465431987</v>
      </c>
      <c r="D20" s="229">
        <f>C20</f>
        <v>0.44951901465431987</v>
      </c>
      <c r="E20" s="229">
        <f>D20</f>
        <v>0.44951901465431987</v>
      </c>
      <c r="F20" s="229">
        <f>E20</f>
        <v>0.44951901465431987</v>
      </c>
    </row>
    <row r="21" spans="2:6" x14ac:dyDescent="0.25">
      <c r="B21" t="s">
        <v>426</v>
      </c>
      <c r="C21" s="335">
        <v>111.23</v>
      </c>
    </row>
    <row r="22" spans="2:6" x14ac:dyDescent="0.25">
      <c r="B22" t="s">
        <v>414</v>
      </c>
      <c r="C22" s="336">
        <v>50</v>
      </c>
    </row>
    <row r="23" spans="2:6" ht="3.75" customHeight="1" x14ac:dyDescent="0.25">
      <c r="B23" s="325"/>
      <c r="C23" s="325"/>
      <c r="D23" s="326"/>
      <c r="E23" s="326"/>
      <c r="F23" s="326"/>
    </row>
    <row r="24" spans="2:6" x14ac:dyDescent="0.25">
      <c r="B24" s="272" t="s">
        <v>423</v>
      </c>
      <c r="C24" s="332"/>
      <c r="D24" s="333">
        <f>D18*D$20</f>
        <v>65.274406932426601</v>
      </c>
      <c r="E24" s="333">
        <f>E18*E$20</f>
        <v>78.514850670732983</v>
      </c>
      <c r="F24" s="333">
        <f>F18*F$20</f>
        <v>53.564040857987798</v>
      </c>
    </row>
    <row r="25" spans="2:6" ht="3.75" customHeight="1" x14ac:dyDescent="0.25">
      <c r="B25" s="325"/>
      <c r="C25" s="325"/>
      <c r="D25" s="326"/>
      <c r="E25" s="326"/>
      <c r="F25" s="326"/>
    </row>
    <row r="26" spans="2:6" x14ac:dyDescent="0.25">
      <c r="B26" t="s">
        <v>412</v>
      </c>
      <c r="C26" s="334">
        <v>2.5000000000000001E-3</v>
      </c>
      <c r="D26" s="324">
        <f>C26</f>
        <v>2.5000000000000001E-3</v>
      </c>
      <c r="E26" s="324">
        <f>C26</f>
        <v>2.5000000000000001E-3</v>
      </c>
      <c r="F26" s="324">
        <f>D26</f>
        <v>2.5000000000000001E-3</v>
      </c>
    </row>
    <row r="27" spans="2:6" x14ac:dyDescent="0.25">
      <c r="B27" t="s">
        <v>415</v>
      </c>
      <c r="C27" s="254">
        <f>C26*-C22</f>
        <v>-0.125</v>
      </c>
      <c r="D27" s="254">
        <f>D26*-D24</f>
        <v>-0.1631860173310665</v>
      </c>
      <c r="E27" s="254">
        <f>E26*-E24</f>
        <v>-0.19628712667683246</v>
      </c>
      <c r="F27" s="254">
        <f>F26*-F24</f>
        <v>-0.13391010214496951</v>
      </c>
    </row>
    <row r="28" spans="2:6" ht="3.75" customHeight="1" x14ac:dyDescent="0.25">
      <c r="B28" s="325"/>
      <c r="C28" s="325"/>
      <c r="D28" s="326"/>
      <c r="E28" s="326"/>
      <c r="F28" s="326"/>
    </row>
    <row r="29" spans="2:6" x14ac:dyDescent="0.25">
      <c r="B29" t="s">
        <v>324</v>
      </c>
      <c r="C29" s="252"/>
      <c r="D29" s="252">
        <f>Model!AB322</f>
        <v>0.32851848490192409</v>
      </c>
      <c r="E29" s="252">
        <f>Model!AC322</f>
        <v>0.36137033339211655</v>
      </c>
      <c r="F29" s="252">
        <f>Model!AA322</f>
        <v>0.26776452405111129</v>
      </c>
    </row>
    <row r="30" spans="2:6" x14ac:dyDescent="0.25">
      <c r="B30" s="272" t="s">
        <v>413</v>
      </c>
      <c r="C30" s="272"/>
      <c r="D30" s="329">
        <f>D29*D20</f>
        <v>0.14767530562884298</v>
      </c>
      <c r="E30" s="329">
        <f>E29*E20</f>
        <v>0.16244283619172731</v>
      </c>
      <c r="F30" s="329">
        <f>F29*F20</f>
        <v>0.12036524501083848</v>
      </c>
    </row>
    <row r="31" spans="2:6" ht="3.75" customHeight="1" x14ac:dyDescent="0.25">
      <c r="B31" s="325"/>
      <c r="C31" s="325"/>
      <c r="D31" s="326"/>
      <c r="E31" s="326"/>
      <c r="F31" s="325"/>
    </row>
    <row r="32" spans="2:6" x14ac:dyDescent="0.25">
      <c r="B32" s="272" t="s">
        <v>424</v>
      </c>
      <c r="C32" s="333">
        <f>-C22+C27+C30</f>
        <v>-50.125</v>
      </c>
      <c r="D32" s="333">
        <f>D24+D27+D30</f>
        <v>65.258896220724367</v>
      </c>
      <c r="E32" s="333"/>
      <c r="F32" s="333"/>
    </row>
    <row r="33" spans="2:8" x14ac:dyDescent="0.25">
      <c r="B33" t="s">
        <v>425</v>
      </c>
      <c r="C33" s="254">
        <f>C32</f>
        <v>-50.125</v>
      </c>
      <c r="D33" s="254"/>
      <c r="E33" s="254">
        <f>E24+E27+E30</f>
        <v>78.481006380247877</v>
      </c>
      <c r="F33" s="254"/>
    </row>
    <row r="34" spans="2:8" ht="3.75" customHeight="1" x14ac:dyDescent="0.25">
      <c r="B34" s="325"/>
      <c r="C34" s="325"/>
      <c r="D34" s="326"/>
      <c r="E34" s="326"/>
      <c r="F34" s="325"/>
    </row>
    <row r="35" spans="2:8" x14ac:dyDescent="0.25">
      <c r="B35" s="262" t="s">
        <v>417</v>
      </c>
      <c r="C35" s="262"/>
      <c r="D35" s="330">
        <f>XIRR(C32:D32,C4:D4)</f>
        <v>0.30192311406135564</v>
      </c>
      <c r="E35" s="330">
        <f>XIRR(C33:E33,C4:E4)</f>
        <v>0.25128168463706979</v>
      </c>
      <c r="F35" s="262"/>
      <c r="H35" s="224"/>
    </row>
    <row r="37" spans="2:8" x14ac:dyDescent="0.25">
      <c r="B37" t="s">
        <v>516</v>
      </c>
    </row>
  </sheetData>
  <pageMargins left="0.7" right="0.7" top="0.75" bottom="0.75" header="0.3" footer="0.3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932E2-90E9-4163-A8FA-1FA2D87929D8}">
  <sheetPr>
    <tabColor theme="6"/>
  </sheetPr>
  <dimension ref="B3:J45"/>
  <sheetViews>
    <sheetView showGridLines="0" workbookViewId="0">
      <selection activeCell="B37" sqref="B37"/>
    </sheetView>
  </sheetViews>
  <sheetFormatPr defaultRowHeight="15" outlineLevelRow="1" x14ac:dyDescent="0.25"/>
  <cols>
    <col min="1" max="1" width="2.7109375" customWidth="1"/>
    <col min="2" max="2" width="24.85546875" bestFit="1" customWidth="1"/>
    <col min="3" max="10" width="9.5703125" bestFit="1" customWidth="1"/>
  </cols>
  <sheetData>
    <row r="3" spans="2:10" x14ac:dyDescent="0.25">
      <c r="B3" s="284"/>
      <c r="C3" s="315">
        <v>2023</v>
      </c>
      <c r="D3" s="316">
        <f>C3+1</f>
        <v>2024</v>
      </c>
      <c r="E3" s="316">
        <f t="shared" ref="E3:J3" si="0">D3+1</f>
        <v>2025</v>
      </c>
      <c r="F3" s="316">
        <f t="shared" si="0"/>
        <v>2026</v>
      </c>
      <c r="G3" s="316">
        <f t="shared" si="0"/>
        <v>2027</v>
      </c>
      <c r="H3" s="316">
        <f t="shared" si="0"/>
        <v>2028</v>
      </c>
      <c r="I3" s="316">
        <f t="shared" si="0"/>
        <v>2029</v>
      </c>
      <c r="J3" s="316">
        <f t="shared" si="0"/>
        <v>2030</v>
      </c>
    </row>
    <row r="4" spans="2:10" ht="6" customHeight="1" x14ac:dyDescent="0.25"/>
    <row r="5" spans="2:10" x14ac:dyDescent="0.25">
      <c r="B5" s="313" t="s">
        <v>406</v>
      </c>
      <c r="C5" s="314"/>
      <c r="D5" s="314"/>
      <c r="E5" s="314"/>
      <c r="F5" s="314"/>
      <c r="G5" s="314"/>
      <c r="H5" s="314"/>
      <c r="I5" s="314"/>
      <c r="J5" s="314"/>
    </row>
    <row r="6" spans="2:10" ht="6" customHeight="1" x14ac:dyDescent="0.25"/>
    <row r="7" spans="2:10" x14ac:dyDescent="0.25">
      <c r="B7" t="s">
        <v>395</v>
      </c>
      <c r="C7" s="226">
        <f>Model!Z36</f>
        <v>1485</v>
      </c>
      <c r="D7" s="226">
        <f>Model!AA36</f>
        <v>1378</v>
      </c>
      <c r="E7" s="226">
        <f>Model!AB36</f>
        <v>1536.3600000000001</v>
      </c>
      <c r="F7" s="226">
        <f>Model!AC36</f>
        <v>1628.5416</v>
      </c>
      <c r="G7" s="226">
        <f>Model!AD36</f>
        <v>1726.2540960000001</v>
      </c>
      <c r="H7" s="226">
        <f>Model!AE36</f>
        <v>1829.82934176</v>
      </c>
      <c r="I7" s="226">
        <f>Model!AF36</f>
        <v>1939.6191022656005</v>
      </c>
      <c r="J7" s="226">
        <f>Model!AG36</f>
        <v>2055.9962484015368</v>
      </c>
    </row>
    <row r="8" spans="2:10" x14ac:dyDescent="0.25">
      <c r="B8" s="264" t="s">
        <v>396</v>
      </c>
      <c r="C8" s="317">
        <f>Model!X72</f>
        <v>1.8132260947274352</v>
      </c>
      <c r="D8" s="317">
        <f>Model!Y72</f>
        <v>1.9742424242424241</v>
      </c>
      <c r="E8" s="317">
        <f>Model!Z72</f>
        <v>2.1744107744107746</v>
      </c>
      <c r="F8" s="317">
        <f>Model!AA72</f>
        <v>2.7934171344105718</v>
      </c>
      <c r="G8" s="317">
        <f>Model!AB72</f>
        <v>2.6998751428148071</v>
      </c>
      <c r="H8" s="317">
        <f>Model!AC72</f>
        <v>2.8991293164129583</v>
      </c>
      <c r="I8" s="317">
        <f>Model!AD72</f>
        <v>2.9185676245310073</v>
      </c>
      <c r="J8" s="317">
        <f>Model!AE72</f>
        <v>3.1134273898872391</v>
      </c>
    </row>
    <row r="9" spans="2:10" ht="6" customHeight="1" x14ac:dyDescent="0.25"/>
    <row r="10" spans="2:10" x14ac:dyDescent="0.25">
      <c r="B10" t="s">
        <v>397</v>
      </c>
      <c r="C10" s="226">
        <f>Model!Z56</f>
        <v>317</v>
      </c>
      <c r="D10" s="226">
        <f>Model!AA56</f>
        <v>291.27999999999997</v>
      </c>
      <c r="E10" s="226">
        <f>Model!AB56</f>
        <v>476.45159462399999</v>
      </c>
      <c r="F10" s="226">
        <f>Model!AC56</f>
        <v>506</v>
      </c>
      <c r="G10" s="226">
        <f>Model!AD56</f>
        <v>519</v>
      </c>
      <c r="H10" s="226">
        <f>Model!AE56</f>
        <v>532</v>
      </c>
      <c r="I10" s="226">
        <f>Model!AF56</f>
        <v>546</v>
      </c>
      <c r="J10" s="226">
        <f>Model!AG56</f>
        <v>560</v>
      </c>
    </row>
    <row r="11" spans="2:10" x14ac:dyDescent="0.25">
      <c r="B11" s="264" t="s">
        <v>396</v>
      </c>
      <c r="C11" s="317">
        <f>Model!Z88</f>
        <v>3.2018927444794953</v>
      </c>
      <c r="D11" s="317">
        <f>Model!AA88</f>
        <v>3.9624285092407807</v>
      </c>
      <c r="E11" s="317">
        <f>Model!AB88</f>
        <v>2.6171944808177163</v>
      </c>
      <c r="F11" s="317">
        <f>Model!AC88</f>
        <v>2.8100865692196986</v>
      </c>
      <c r="G11" s="317">
        <f>Model!AD88</f>
        <v>2.9210662195605472</v>
      </c>
      <c r="H11" s="317">
        <f>Model!AE88</f>
        <v>3.2394128786615237</v>
      </c>
      <c r="I11" s="317">
        <f>Model!AF88</f>
        <v>3.3141685604767908</v>
      </c>
      <c r="J11" s="317">
        <f>Model!AG88</f>
        <v>3.3928800637881147</v>
      </c>
    </row>
    <row r="12" spans="2:10" ht="6" customHeight="1" x14ac:dyDescent="0.25"/>
    <row r="13" spans="2:10" hidden="1" outlineLevel="1" x14ac:dyDescent="0.25">
      <c r="B13" s="313" t="s">
        <v>295</v>
      </c>
      <c r="C13" s="314"/>
      <c r="D13" s="314"/>
      <c r="E13" s="314"/>
      <c r="F13" s="314"/>
      <c r="G13" s="314"/>
      <c r="H13" s="314"/>
      <c r="I13" s="314"/>
      <c r="J13" s="314"/>
    </row>
    <row r="14" spans="2:10" hidden="1" outlineLevel="1" x14ac:dyDescent="0.25">
      <c r="B14" s="312" t="s">
        <v>398</v>
      </c>
      <c r="C14" s="226">
        <f>Model!Z127</f>
        <v>3229</v>
      </c>
      <c r="D14" s="226">
        <f>Model!AA127</f>
        <v>3849.3288112177679</v>
      </c>
      <c r="E14" s="226">
        <f>Model!AB127</f>
        <v>4147.9801744149572</v>
      </c>
      <c r="F14" s="226">
        <f>Model!AC127</f>
        <v>4721.3526955580655</v>
      </c>
      <c r="G14" s="226">
        <f>Model!AD127</f>
        <v>5038.1893162996421</v>
      </c>
      <c r="H14" s="226">
        <f>Model!AE127</f>
        <v>5697.0407914549214</v>
      </c>
      <c r="I14" s="226">
        <f>Model!AF127</f>
        <v>5981.8928310276679</v>
      </c>
      <c r="J14" s="226">
        <f>Model!AG127</f>
        <v>6280.9874725790514</v>
      </c>
    </row>
    <row r="15" spans="2:10" hidden="1" outlineLevel="1" x14ac:dyDescent="0.25">
      <c r="B15" s="312" t="s">
        <v>383</v>
      </c>
      <c r="C15" s="226">
        <f>Model!Z128</f>
        <v>1015</v>
      </c>
      <c r="D15" s="226">
        <f>Model!AA128</f>
        <v>1154.1761761716546</v>
      </c>
      <c r="E15" s="226">
        <f>Model!AB128</f>
        <v>1246.9664838267327</v>
      </c>
      <c r="F15" s="226">
        <f>Model!AC128</f>
        <v>1421.9038040251676</v>
      </c>
      <c r="G15" s="226">
        <f>Model!AD128</f>
        <v>1516.033367951924</v>
      </c>
      <c r="H15" s="226">
        <f>Model!AE128</f>
        <v>1723.3676514479307</v>
      </c>
      <c r="I15" s="226">
        <f>Model!AF128</f>
        <v>1809.5360340203276</v>
      </c>
      <c r="J15" s="226">
        <f>Model!AG128</f>
        <v>1900.0128357213441</v>
      </c>
    </row>
    <row r="16" spans="2:10" hidden="1" outlineLevel="1" x14ac:dyDescent="0.25">
      <c r="B16" s="312" t="s">
        <v>384</v>
      </c>
      <c r="C16" s="226">
        <f>Model!Z129</f>
        <v>1402</v>
      </c>
      <c r="D16" s="226">
        <f>Model!AA129</f>
        <v>1321.651142857143</v>
      </c>
      <c r="E16" s="226">
        <f>Model!AB129</f>
        <v>1303.5765306122448</v>
      </c>
      <c r="F16" s="226">
        <f>Model!AC129</f>
        <v>1444.8721938775509</v>
      </c>
      <c r="G16" s="226">
        <f>Model!AD129</f>
        <v>1461.530969387755</v>
      </c>
      <c r="H16" s="226">
        <f>Model!AE129</f>
        <v>1546.2780612244896</v>
      </c>
      <c r="I16" s="226">
        <f>Model!AF129</f>
        <v>1623.5919642857143</v>
      </c>
      <c r="J16" s="226">
        <f>Model!AG129</f>
        <v>1704.7715625000001</v>
      </c>
    </row>
    <row r="17" spans="2:10" hidden="1" outlineLevel="1" x14ac:dyDescent="0.25">
      <c r="B17" s="312" t="s">
        <v>399</v>
      </c>
      <c r="C17" s="226">
        <f>Model!Z130</f>
        <v>994</v>
      </c>
      <c r="D17" s="226">
        <f>Model!AA130</f>
        <v>1116.069107848673</v>
      </c>
      <c r="E17" s="226">
        <f>Model!AB130</f>
        <v>1356.0859381301927</v>
      </c>
      <c r="F17" s="226">
        <f>Model!AC130</f>
        <v>1868.0860818209351</v>
      </c>
      <c r="G17" s="226">
        <f>Model!AD130</f>
        <v>2530.3512653518042</v>
      </c>
      <c r="H17" s="226">
        <f>Model!AE130</f>
        <v>3160.9941177145774</v>
      </c>
      <c r="I17" s="226">
        <f>Model!AF130</f>
        <v>3863.602924148865</v>
      </c>
      <c r="J17" s="226">
        <f>Model!AG130</f>
        <v>4733.0499983877289</v>
      </c>
    </row>
    <row r="18" spans="2:10" collapsed="1" x14ac:dyDescent="0.25">
      <c r="B18" s="272" t="s">
        <v>400</v>
      </c>
      <c r="C18" s="273">
        <f>SUM(C14:C17)</f>
        <v>6640</v>
      </c>
      <c r="D18" s="273">
        <f t="shared" ref="D18:J18" si="1">SUM(D14:D17)</f>
        <v>7441.2252380952377</v>
      </c>
      <c r="E18" s="273">
        <f t="shared" si="1"/>
        <v>8054.6091269841272</v>
      </c>
      <c r="F18" s="273">
        <f t="shared" si="1"/>
        <v>9456.2147752817182</v>
      </c>
      <c r="G18" s="273">
        <f t="shared" si="1"/>
        <v>10546.104918991126</v>
      </c>
      <c r="H18" s="273">
        <f t="shared" si="1"/>
        <v>12127.680621841919</v>
      </c>
      <c r="I18" s="273">
        <f t="shared" si="1"/>
        <v>13278.623753482574</v>
      </c>
      <c r="J18" s="273">
        <f t="shared" si="1"/>
        <v>14618.821869188125</v>
      </c>
    </row>
    <row r="19" spans="2:10" x14ac:dyDescent="0.25">
      <c r="B19" s="264" t="s">
        <v>401</v>
      </c>
      <c r="C19" s="318">
        <f>Model!Z110</f>
        <v>0</v>
      </c>
      <c r="D19" s="318">
        <f>Model!AA110</f>
        <v>0</v>
      </c>
      <c r="E19" s="318">
        <f>Model!AB110</f>
        <v>76.038584415005204</v>
      </c>
      <c r="F19" s="318">
        <f>Model!AC110</f>
        <v>200.72454909124258</v>
      </c>
      <c r="G19" s="318">
        <f>Model!AD110</f>
        <v>491.22070768160165</v>
      </c>
      <c r="H19" s="318">
        <f>Model!AE110</f>
        <v>653.49202437168208</v>
      </c>
      <c r="I19" s="318">
        <f>Model!AF110</f>
        <v>788.58705426382517</v>
      </c>
      <c r="J19" s="318">
        <f>Model!AG110</f>
        <v>951.60999516468644</v>
      </c>
    </row>
    <row r="20" spans="2:10" ht="6" customHeight="1" x14ac:dyDescent="0.25"/>
    <row r="21" spans="2:10" x14ac:dyDescent="0.25">
      <c r="B21" t="s">
        <v>223</v>
      </c>
      <c r="C21" s="230">
        <f>Model!Z181</f>
        <v>1867</v>
      </c>
      <c r="D21" s="230">
        <f>Model!AA181</f>
        <v>2307.4076771770269</v>
      </c>
      <c r="E21" s="230">
        <f>Model!AB181</f>
        <v>2604.3866998404337</v>
      </c>
      <c r="F21" s="230">
        <f>Model!AC181</f>
        <v>3243.4024546556457</v>
      </c>
      <c r="G21" s="230">
        <f>Model!AD181</f>
        <v>3799.5107656974387</v>
      </c>
      <c r="H21" s="230">
        <f>Model!AE181</f>
        <v>4570.1873048512616</v>
      </c>
      <c r="I21" s="230">
        <f>Model!AF181</f>
        <v>5221.2303098889442</v>
      </c>
      <c r="J21" s="230">
        <f>Model!AG181</f>
        <v>5997.8489716651547</v>
      </c>
    </row>
    <row r="22" spans="2:10" x14ac:dyDescent="0.25">
      <c r="B22" s="264" t="s">
        <v>404</v>
      </c>
      <c r="C22" s="228">
        <f>C21/C$18</f>
        <v>0.2811746987951807</v>
      </c>
      <c r="D22" s="228">
        <f t="shared" ref="D22:J22" si="2">D21/D$18</f>
        <v>0.31008437499839259</v>
      </c>
      <c r="E22" s="228">
        <f t="shared" si="2"/>
        <v>0.3233411651367854</v>
      </c>
      <c r="F22" s="228">
        <f t="shared" si="2"/>
        <v>0.34299162315282955</v>
      </c>
      <c r="G22" s="228">
        <f t="shared" si="2"/>
        <v>0.36027621523614728</v>
      </c>
      <c r="H22" s="228">
        <f t="shared" si="2"/>
        <v>0.3768393518394908</v>
      </c>
      <c r="I22" s="228">
        <f t="shared" si="2"/>
        <v>0.39320568206622891</v>
      </c>
      <c r="J22" s="228">
        <f t="shared" si="2"/>
        <v>0.41028264967827077</v>
      </c>
    </row>
    <row r="23" spans="2:10" ht="6" customHeight="1" x14ac:dyDescent="0.25"/>
    <row r="24" spans="2:10" x14ac:dyDescent="0.25">
      <c r="B24" s="313" t="s">
        <v>296</v>
      </c>
      <c r="C24" s="314"/>
      <c r="D24" s="314"/>
      <c r="E24" s="314"/>
      <c r="F24" s="314"/>
      <c r="G24" s="314"/>
      <c r="H24" s="314"/>
      <c r="I24" s="314"/>
      <c r="J24" s="314"/>
    </row>
    <row r="25" spans="2:10" x14ac:dyDescent="0.25">
      <c r="B25" s="312" t="s">
        <v>5</v>
      </c>
      <c r="C25" s="226">
        <f>Model!Z158</f>
        <v>887</v>
      </c>
      <c r="D25" s="226">
        <f>Model!AA158</f>
        <v>1170.066526677482</v>
      </c>
      <c r="E25" s="226">
        <f>Model!AB158</f>
        <v>1400.460406168015</v>
      </c>
      <c r="F25" s="226">
        <f>Model!AC158</f>
        <v>1817.3419155440811</v>
      </c>
      <c r="G25" s="226">
        <f>Model!AD158</f>
        <v>2245.412820093286</v>
      </c>
      <c r="H25" s="226">
        <f>Model!AE158</f>
        <v>2836.4165615265701</v>
      </c>
      <c r="I25" s="226">
        <f>Model!AF158</f>
        <v>3354.4039077149664</v>
      </c>
      <c r="J25" s="226">
        <f>Model!AG158</f>
        <v>3985.0101634017137</v>
      </c>
    </row>
    <row r="26" spans="2:10" x14ac:dyDescent="0.25">
      <c r="B26" s="312" t="s">
        <v>6</v>
      </c>
      <c r="C26" s="226">
        <f>Model!Z160</f>
        <v>278</v>
      </c>
      <c r="D26" s="226">
        <f>Model!AA160</f>
        <v>395.75</v>
      </c>
      <c r="E26" s="226">
        <f>Model!AB160</f>
        <v>452.666</v>
      </c>
      <c r="F26" s="226">
        <f>Model!AC160</f>
        <v>528</v>
      </c>
      <c r="G26" s="226">
        <f>Model!AD160</f>
        <v>587</v>
      </c>
      <c r="H26" s="226">
        <f>Model!AE160</f>
        <v>654.76187484571722</v>
      </c>
      <c r="I26" s="226">
        <f>Model!AF160</f>
        <v>699.16021858800298</v>
      </c>
      <c r="J26" s="226">
        <f>Model!AG160</f>
        <v>746.36149201740307</v>
      </c>
    </row>
    <row r="27" spans="2:10" x14ac:dyDescent="0.25">
      <c r="B27" s="312" t="s">
        <v>7</v>
      </c>
      <c r="C27" s="226">
        <f>Model!Z162</f>
        <v>113</v>
      </c>
      <c r="D27" s="226">
        <f>Model!AA162</f>
        <v>155.76670000000001</v>
      </c>
      <c r="E27" s="226">
        <f>Model!AB162</f>
        <v>180</v>
      </c>
      <c r="F27" s="226">
        <f>Model!AC162</f>
        <v>209.333</v>
      </c>
      <c r="G27" s="226">
        <f>Model!AD162</f>
        <v>233</v>
      </c>
      <c r="H27" s="226">
        <f>Model!AE162</f>
        <v>263.26392857142855</v>
      </c>
      <c r="I27" s="226">
        <f>Model!AF162</f>
        <v>284.17612500000001</v>
      </c>
      <c r="J27" s="226">
        <f>Model!AG162</f>
        <v>306.52138124999999</v>
      </c>
    </row>
    <row r="28" spans="2:10" x14ac:dyDescent="0.25">
      <c r="B28" s="312" t="s">
        <v>8</v>
      </c>
      <c r="C28" s="226">
        <f>Model!Z164</f>
        <v>309</v>
      </c>
      <c r="D28" s="226">
        <f>Model!AA164</f>
        <v>283.26</v>
      </c>
      <c r="E28" s="226">
        <f>Model!AB164</f>
        <v>264</v>
      </c>
      <c r="F28" s="226">
        <f>Model!AC164</f>
        <v>328</v>
      </c>
      <c r="G28" s="226">
        <f>Model!AD164</f>
        <v>331.79421572438167</v>
      </c>
      <c r="H28" s="226">
        <f>Model!AE164</f>
        <v>353.10862190812725</v>
      </c>
      <c r="I28" s="226">
        <f>Model!AF164</f>
        <v>376.94855300353362</v>
      </c>
      <c r="J28" s="226">
        <f>Model!AG164</f>
        <v>402.28970565371031</v>
      </c>
    </row>
    <row r="29" spans="2:10" x14ac:dyDescent="0.25">
      <c r="B29" s="272" t="s">
        <v>403</v>
      </c>
      <c r="C29" s="319">
        <f>SUM(C25:C28)</f>
        <v>1587</v>
      </c>
      <c r="D29" s="319">
        <f t="shared" ref="D29:J29" si="3">SUM(D25:D28)</f>
        <v>2004.8432266774819</v>
      </c>
      <c r="E29" s="319">
        <f t="shared" si="3"/>
        <v>2297.1264061680149</v>
      </c>
      <c r="F29" s="319">
        <f t="shared" si="3"/>
        <v>2882.6749155440812</v>
      </c>
      <c r="G29" s="319">
        <f t="shared" si="3"/>
        <v>3397.2070358176675</v>
      </c>
      <c r="H29" s="319">
        <f t="shared" si="3"/>
        <v>4107.5509868518429</v>
      </c>
      <c r="I29" s="319">
        <f t="shared" si="3"/>
        <v>4714.6888043065028</v>
      </c>
      <c r="J29" s="319">
        <f t="shared" si="3"/>
        <v>5440.1827423228269</v>
      </c>
    </row>
    <row r="30" spans="2:10" ht="6" customHeight="1" x14ac:dyDescent="0.25"/>
    <row r="31" spans="2:10" x14ac:dyDescent="0.25">
      <c r="B31" t="s">
        <v>402</v>
      </c>
      <c r="C31" s="226">
        <f>Model!Z171</f>
        <v>1508</v>
      </c>
      <c r="D31" s="226">
        <f>Model!AA171</f>
        <v>1907.963986506209</v>
      </c>
      <c r="E31" s="226">
        <f>Model!AB171</f>
        <v>2191.7800197660426</v>
      </c>
      <c r="F31" s="226">
        <f>Model!AC171</f>
        <v>2758.9969021344018</v>
      </c>
      <c r="G31" s="226">
        <f>Model!AD171</f>
        <v>3259.2743284303174</v>
      </c>
      <c r="H31" s="226">
        <f>Model!AE171</f>
        <v>3948.9328206806135</v>
      </c>
      <c r="I31" s="226">
        <f>Model!AF171</f>
        <v>4541.0174309639515</v>
      </c>
      <c r="J31" s="226">
        <f>Model!AG171</f>
        <v>5248.9828922626011</v>
      </c>
    </row>
    <row r="32" spans="2:10" x14ac:dyDescent="0.25">
      <c r="B32" s="264" t="s">
        <v>404</v>
      </c>
      <c r="C32" s="228">
        <f>C31/C$18</f>
        <v>0.22710843373493975</v>
      </c>
      <c r="D32" s="228">
        <f t="shared" ref="D32" si="4">D31/D$18</f>
        <v>0.25640454702787613</v>
      </c>
      <c r="E32" s="228">
        <f t="shared" ref="E32" si="5">E31/E$18</f>
        <v>0.27211500709863828</v>
      </c>
      <c r="F32" s="228">
        <f t="shared" ref="F32" si="6">F31/F$18</f>
        <v>0.29176546511468232</v>
      </c>
      <c r="G32" s="228">
        <f t="shared" ref="G32" si="7">G31/G$18</f>
        <v>0.30905005719800005</v>
      </c>
      <c r="H32" s="228">
        <f t="shared" ref="H32" si="8">H31/H$18</f>
        <v>0.32561319380134374</v>
      </c>
      <c r="I32" s="228">
        <f t="shared" ref="I32" si="9">I31/I$18</f>
        <v>0.34197952402808179</v>
      </c>
      <c r="J32" s="228">
        <f t="shared" ref="J32" si="10">J31/J$18</f>
        <v>0.35905649164012354</v>
      </c>
    </row>
    <row r="33" spans="2:10" ht="6" customHeight="1" x14ac:dyDescent="0.25"/>
    <row r="34" spans="2:10" x14ac:dyDescent="0.25">
      <c r="B34" t="s">
        <v>405</v>
      </c>
      <c r="C34" s="230">
        <f>-Model!Z292</f>
        <v>246</v>
      </c>
      <c r="D34" s="230">
        <f>-Model!AA292</f>
        <v>304.00407058518232</v>
      </c>
      <c r="E34" s="230">
        <f>-Model!AB292</f>
        <v>359.93348687340517</v>
      </c>
      <c r="F34" s="230">
        <f>-Model!AC292</f>
        <v>378.24859101126873</v>
      </c>
      <c r="G34" s="230">
        <f>-Model!AD292</f>
        <v>369.11367216468943</v>
      </c>
      <c r="H34" s="230">
        <f>-Model!AE292</f>
        <v>363.83041865525757</v>
      </c>
      <c r="I34" s="230">
        <f>-Model!AF292</f>
        <v>331.96559383706438</v>
      </c>
      <c r="J34" s="230">
        <f>-Model!AG292</f>
        <v>292.37643738376249</v>
      </c>
    </row>
    <row r="35" spans="2:10" ht="6" customHeight="1" x14ac:dyDescent="0.25"/>
    <row r="36" spans="2:10" x14ac:dyDescent="0.25">
      <c r="B36" t="s">
        <v>320</v>
      </c>
      <c r="C36" s="227">
        <f>C31-C34</f>
        <v>1262</v>
      </c>
      <c r="D36" s="227">
        <f t="shared" ref="D36:J36" si="11">D31-D34</f>
        <v>1603.9599159210268</v>
      </c>
      <c r="E36" s="227">
        <f t="shared" si="11"/>
        <v>1831.8465328926375</v>
      </c>
      <c r="F36" s="227">
        <f t="shared" si="11"/>
        <v>2380.7483111231331</v>
      </c>
      <c r="G36" s="227">
        <f t="shared" si="11"/>
        <v>2890.1606562656279</v>
      </c>
      <c r="H36" s="227">
        <f t="shared" si="11"/>
        <v>3585.1024020253558</v>
      </c>
      <c r="I36" s="227">
        <f t="shared" si="11"/>
        <v>4209.0518371268872</v>
      </c>
      <c r="J36" s="227">
        <f t="shared" si="11"/>
        <v>4956.606454878839</v>
      </c>
    </row>
    <row r="37" spans="2:10" x14ac:dyDescent="0.25">
      <c r="B37" s="264" t="s">
        <v>404</v>
      </c>
      <c r="C37" s="228">
        <f>C36/C$18</f>
        <v>0.19006024096385543</v>
      </c>
      <c r="D37" s="228">
        <f t="shared" ref="D37:J37" si="12">D36/D$18</f>
        <v>0.21555051279856155</v>
      </c>
      <c r="E37" s="228">
        <f t="shared" si="12"/>
        <v>0.22742835859727589</v>
      </c>
      <c r="F37" s="228">
        <f t="shared" si="12"/>
        <v>0.25176546511468234</v>
      </c>
      <c r="G37" s="228">
        <f t="shared" si="12"/>
        <v>0.27405005719800007</v>
      </c>
      <c r="H37" s="228">
        <f t="shared" si="12"/>
        <v>0.29561319380134371</v>
      </c>
      <c r="I37" s="228">
        <f t="shared" si="12"/>
        <v>0.31697952402808177</v>
      </c>
      <c r="J37" s="228">
        <f t="shared" si="12"/>
        <v>0.33905649164012358</v>
      </c>
    </row>
    <row r="38" spans="2:10" x14ac:dyDescent="0.25">
      <c r="C38" s="227"/>
      <c r="D38" s="227"/>
      <c r="E38" s="227"/>
      <c r="F38" s="227"/>
      <c r="G38" s="227"/>
      <c r="H38" s="227"/>
      <c r="I38" s="227"/>
      <c r="J38" s="227"/>
    </row>
    <row r="39" spans="2:10" ht="6" customHeight="1" x14ac:dyDescent="0.25"/>
    <row r="40" spans="2:10" x14ac:dyDescent="0.25">
      <c r="B40" s="313" t="s">
        <v>409</v>
      </c>
      <c r="C40" s="314"/>
      <c r="D40" s="314"/>
      <c r="E40" s="314"/>
      <c r="F40" s="314"/>
      <c r="G40" s="314"/>
      <c r="H40" s="314"/>
      <c r="I40" s="314"/>
      <c r="J40" s="314"/>
    </row>
    <row r="41" spans="2:10" ht="6" customHeight="1" x14ac:dyDescent="0.25"/>
    <row r="42" spans="2:10" x14ac:dyDescent="0.25">
      <c r="B42" t="s">
        <v>407</v>
      </c>
      <c r="C42" s="252">
        <f>Model!Z322</f>
        <v>0.17550374271287875</v>
      </c>
      <c r="D42" s="252">
        <f>Model!AA322</f>
        <v>0.26776452405111129</v>
      </c>
      <c r="E42" s="252">
        <f>Model!AB322</f>
        <v>0.32851848490192409</v>
      </c>
      <c r="F42" s="252">
        <f>Model!AC322</f>
        <v>0.36137033339211655</v>
      </c>
      <c r="G42" s="252">
        <f>Model!AD322</f>
        <v>0.54205550008817482</v>
      </c>
      <c r="H42" s="252">
        <f>Model!AE322</f>
        <v>0.70467215011462725</v>
      </c>
      <c r="I42" s="252">
        <f>Model!AF322</f>
        <v>0.70467215011462725</v>
      </c>
      <c r="J42" s="252">
        <f>Model!AG322</f>
        <v>0.70467215011462725</v>
      </c>
    </row>
    <row r="43" spans="2:10" x14ac:dyDescent="0.25">
      <c r="B43" s="264" t="s">
        <v>408</v>
      </c>
      <c r="D43" s="228">
        <f>D42/C42-1</f>
        <v>0.52569124687653912</v>
      </c>
      <c r="E43" s="228">
        <f t="shared" ref="E43:J43" si="13">E42/D42-1</f>
        <v>0.22689324161260438</v>
      </c>
      <c r="F43" s="228">
        <f t="shared" si="13"/>
        <v>0.10000000000000009</v>
      </c>
      <c r="G43" s="228">
        <f t="shared" si="13"/>
        <v>0.5</v>
      </c>
      <c r="H43" s="228">
        <f t="shared" si="13"/>
        <v>0.30000000000000004</v>
      </c>
      <c r="I43" s="228">
        <f t="shared" si="13"/>
        <v>0</v>
      </c>
      <c r="J43" s="228">
        <f t="shared" si="13"/>
        <v>0</v>
      </c>
    </row>
    <row r="44" spans="2:10" ht="6" customHeight="1" x14ac:dyDescent="0.25"/>
    <row r="45" spans="2:10" x14ac:dyDescent="0.25">
      <c r="B45" s="274" t="s">
        <v>410</v>
      </c>
      <c r="C45" s="265">
        <f>Model!Z342</f>
        <v>2.0530503978779842</v>
      </c>
      <c r="D45" s="265">
        <f>Model!AA342</f>
        <v>1.4780610815345974</v>
      </c>
      <c r="E45" s="265">
        <f>Model!AB342</f>
        <v>1.0003073882516693</v>
      </c>
      <c r="F45" s="265">
        <f>Model!AC342</f>
        <v>0.47386635151266876</v>
      </c>
      <c r="G45" s="265">
        <f>Model!AD342</f>
        <v>-7.9674195609517745E-3</v>
      </c>
      <c r="H45" s="265">
        <f>Model!AE342</f>
        <v>-0.52730035446806633</v>
      </c>
      <c r="I45" s="265">
        <f>Model!AF342</f>
        <v>-1.0504147992719592</v>
      </c>
      <c r="J45" s="265">
        <f>Model!AG342</f>
        <v>-1.5425770871775433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71511-52C7-4CF8-9FEA-D423B783DC52}">
  <sheetPr>
    <tabColor theme="6"/>
  </sheetPr>
  <dimension ref="A1:AF25"/>
  <sheetViews>
    <sheetView showGridLines="0" zoomScale="87" zoomScaleNormal="109" workbookViewId="0">
      <pane xSplit="2" ySplit="2" topLeftCell="E3" activePane="bottomRight" state="frozen"/>
      <selection activeCell="M31" sqref="M31"/>
      <selection pane="topRight" activeCell="M31" sqref="M31"/>
      <selection pane="bottomLeft" activeCell="M31" sqref="M31"/>
      <selection pane="bottomRight" activeCell="N10" sqref="N10"/>
    </sheetView>
  </sheetViews>
  <sheetFormatPr defaultRowHeight="15" x14ac:dyDescent="0.25"/>
  <cols>
    <col min="2" max="2" width="11.42578125" bestFit="1" customWidth="1"/>
    <col min="4" max="4" width="11" bestFit="1" customWidth="1"/>
    <col min="5" max="5" width="10" bestFit="1" customWidth="1"/>
    <col min="6" max="6" width="13.28515625" bestFit="1" customWidth="1"/>
    <col min="8" max="8" width="13.28515625" bestFit="1" customWidth="1"/>
    <col min="10" max="10" width="9.85546875" bestFit="1" customWidth="1"/>
    <col min="11" max="11" width="9.5703125" bestFit="1" customWidth="1"/>
    <col min="12" max="12" width="10.5703125" bestFit="1" customWidth="1"/>
    <col min="13" max="14" width="10" bestFit="1" customWidth="1"/>
    <col min="15" max="16" width="0" hidden="1" customWidth="1"/>
    <col min="17" max="17" width="9.85546875" bestFit="1" customWidth="1"/>
    <col min="20" max="20" width="10.5703125" bestFit="1" customWidth="1"/>
    <col min="25" max="25" width="24.5703125" bestFit="1" customWidth="1"/>
    <col min="26" max="26" width="12.28515625" bestFit="1" customWidth="1"/>
    <col min="27" max="27" width="11" bestFit="1" customWidth="1"/>
    <col min="28" max="28" width="9.85546875" bestFit="1" customWidth="1"/>
    <col min="30" max="30" width="24.28515625" bestFit="1" customWidth="1"/>
    <col min="31" max="31" width="12.85546875" bestFit="1" customWidth="1"/>
  </cols>
  <sheetData>
    <row r="1" spans="1:32" x14ac:dyDescent="0.25">
      <c r="A1" t="s">
        <v>328</v>
      </c>
      <c r="B1" s="251">
        <v>45646</v>
      </c>
      <c r="K1">
        <v>2023</v>
      </c>
      <c r="L1">
        <f>K1+1</f>
        <v>2024</v>
      </c>
      <c r="M1">
        <f>L1+1</f>
        <v>2025</v>
      </c>
      <c r="N1">
        <f t="shared" ref="N1" si="0">M1+1</f>
        <v>2026</v>
      </c>
      <c r="Q1">
        <v>2024</v>
      </c>
    </row>
    <row r="2" spans="1:32" x14ac:dyDescent="0.25">
      <c r="B2" t="s">
        <v>10</v>
      </c>
      <c r="C2" t="s">
        <v>329</v>
      </c>
      <c r="D2" t="s">
        <v>330</v>
      </c>
      <c r="E2" t="s">
        <v>48</v>
      </c>
      <c r="F2" t="s">
        <v>331</v>
      </c>
      <c r="G2" t="s">
        <v>332</v>
      </c>
      <c r="H2" t="s">
        <v>333</v>
      </c>
      <c r="I2" t="s">
        <v>334</v>
      </c>
      <c r="J2" t="s">
        <v>161</v>
      </c>
      <c r="K2" t="s">
        <v>27</v>
      </c>
      <c r="L2" t="s">
        <v>27</v>
      </c>
      <c r="M2" t="s">
        <v>27</v>
      </c>
      <c r="N2" t="s">
        <v>27</v>
      </c>
      <c r="Q2" t="s">
        <v>296</v>
      </c>
      <c r="R2" t="s">
        <v>21</v>
      </c>
      <c r="S2" t="s">
        <v>335</v>
      </c>
      <c r="T2" t="s">
        <v>336</v>
      </c>
      <c r="U2" t="s">
        <v>22</v>
      </c>
      <c r="V2" t="s">
        <v>337</v>
      </c>
      <c r="W2" t="s">
        <v>338</v>
      </c>
      <c r="Y2" t="s">
        <v>339</v>
      </c>
      <c r="Z2" t="s">
        <v>340</v>
      </c>
      <c r="AA2" t="s">
        <v>341</v>
      </c>
      <c r="AB2" t="s">
        <v>342</v>
      </c>
      <c r="AC2" s="327" t="s">
        <v>419</v>
      </c>
      <c r="AD2" s="327" t="s">
        <v>418</v>
      </c>
      <c r="AE2" s="327" t="s">
        <v>420</v>
      </c>
      <c r="AF2" s="327" t="s">
        <v>421</v>
      </c>
    </row>
    <row r="3" spans="1:32" x14ac:dyDescent="0.25">
      <c r="B3" t="s">
        <v>314</v>
      </c>
      <c r="C3" t="s">
        <v>210</v>
      </c>
      <c r="D3" s="252">
        <v>110.83</v>
      </c>
      <c r="E3" s="229">
        <f>'HWM- TSM'!E12</f>
        <v>406.65837524740596</v>
      </c>
      <c r="F3" s="229">
        <f>D3*E3</f>
        <v>45069.947728669998</v>
      </c>
      <c r="G3">
        <f>SUM('HWM- TSM'!E15:E16)</f>
        <v>2919</v>
      </c>
      <c r="H3" s="229">
        <f>SUM(F3:G3)</f>
        <v>47988.947728669998</v>
      </c>
      <c r="I3">
        <v>4503</v>
      </c>
      <c r="J3">
        <v>4047</v>
      </c>
      <c r="K3" s="253">
        <v>1200</v>
      </c>
      <c r="L3" s="254">
        <v>1620</v>
      </c>
      <c r="M3" s="254">
        <v>1840</v>
      </c>
      <c r="N3" s="254">
        <v>2140</v>
      </c>
      <c r="Q3" s="254">
        <v>1900</v>
      </c>
      <c r="R3" s="224">
        <v>0.25</v>
      </c>
      <c r="S3" s="228">
        <f>(M3*(1-R3))/(G3+I3-J3)</f>
        <v>0.40888888888888891</v>
      </c>
      <c r="T3">
        <f>I3+G3-J3</f>
        <v>3375</v>
      </c>
      <c r="U3" s="309">
        <v>9.5000000000000001E-2</v>
      </c>
      <c r="V3" s="255">
        <f>H3/T3</f>
        <v>14.218947475161482</v>
      </c>
      <c r="W3" s="256">
        <f>S3-U3</f>
        <v>0.31388888888888888</v>
      </c>
      <c r="Y3" s="255">
        <f>H3/Q3</f>
        <v>25.257340909826315</v>
      </c>
      <c r="Z3" s="255">
        <f>H3/N3</f>
        <v>22.424741929285045</v>
      </c>
      <c r="AA3" s="254">
        <v>7419</v>
      </c>
      <c r="AB3" s="254">
        <v>2302</v>
      </c>
      <c r="AC3" s="228">
        <f>AB3/AA3</f>
        <v>0.31028440490632159</v>
      </c>
      <c r="AD3" s="228">
        <f>Q3/AA3</f>
        <v>0.25609920474457476</v>
      </c>
      <c r="AE3" s="224">
        <f>Model!AD182</f>
        <v>0.36027621523614728</v>
      </c>
      <c r="AF3" s="224">
        <f>Model!AD172</f>
        <v>0.30905005719800005</v>
      </c>
    </row>
    <row r="4" spans="1:32" x14ac:dyDescent="0.25">
      <c r="D4" s="252"/>
      <c r="E4" s="229"/>
      <c r="F4" s="229"/>
      <c r="H4" s="229"/>
      <c r="K4" s="253"/>
      <c r="L4" s="254"/>
      <c r="M4" s="254"/>
      <c r="N4" s="254"/>
      <c r="Q4" s="254"/>
      <c r="R4" s="224"/>
      <c r="S4" s="228"/>
      <c r="U4" s="309"/>
      <c r="V4" s="255"/>
      <c r="W4" s="256"/>
      <c r="Y4" s="255"/>
      <c r="Z4" s="255"/>
      <c r="AA4" s="254"/>
      <c r="AB4" s="254"/>
    </row>
    <row r="5" spans="1:32" x14ac:dyDescent="0.25">
      <c r="B5" t="s">
        <v>343</v>
      </c>
      <c r="C5" t="s">
        <v>214</v>
      </c>
      <c r="D5" s="252">
        <f>'AME - TSM'!C5</f>
        <v>183.36</v>
      </c>
      <c r="E5" s="231">
        <f>'AME - TSM'!E13</f>
        <v>232.67677898560211</v>
      </c>
      <c r="F5" s="229">
        <f t="shared" ref="F5:F12" si="1">D5*E5</f>
        <v>42663.614194800008</v>
      </c>
      <c r="G5">
        <f>SUM('AME - TSM'!E16:E17)</f>
        <v>1940.268</v>
      </c>
      <c r="H5" s="229">
        <f t="shared" ref="H5:H12" si="2">SUM(F5:G5)</f>
        <v>44603.882194800011</v>
      </c>
      <c r="I5">
        <f>9550.223</f>
        <v>9550.223</v>
      </c>
      <c r="J5">
        <v>6550.2669999999998</v>
      </c>
      <c r="K5" s="253">
        <v>1707</v>
      </c>
      <c r="L5" s="254">
        <v>1805</v>
      </c>
      <c r="M5" s="254">
        <v>1966</v>
      </c>
      <c r="N5" s="254">
        <v>2123</v>
      </c>
      <c r="Q5" s="254">
        <v>2190</v>
      </c>
      <c r="R5" s="224">
        <v>0.25</v>
      </c>
      <c r="S5" s="228">
        <f t="shared" ref="S5:S12" si="3">(M5*(1-R5))/(G5+I5-J5)</f>
        <v>0.29846824759363139</v>
      </c>
      <c r="T5" s="225">
        <f t="shared" ref="T5:T12" si="4">I5+G5-J5</f>
        <v>4940.2240000000002</v>
      </c>
      <c r="U5" s="309">
        <f>$U$3</f>
        <v>9.5000000000000001E-2</v>
      </c>
      <c r="V5" s="255">
        <f t="shared" ref="V5:V12" si="5">H5/T5</f>
        <v>9.0287165510713709</v>
      </c>
      <c r="W5" s="256">
        <f t="shared" ref="W5:W12" si="6">S5-U5</f>
        <v>0.20346824759363139</v>
      </c>
      <c r="Y5" s="255">
        <f t="shared" ref="Y5:Y12" si="7">H5/Q5</f>
        <v>20.36706949534247</v>
      </c>
      <c r="Z5" s="255">
        <f t="shared" ref="Z5:Z12" si="8">H5/N5</f>
        <v>21.009836172774381</v>
      </c>
      <c r="AA5" s="254">
        <v>7018</v>
      </c>
      <c r="AB5" s="254">
        <v>2501</v>
      </c>
      <c r="AC5" s="228">
        <f t="shared" ref="AC5:AC12" si="9">AB5/AA5</f>
        <v>0.35636933599316045</v>
      </c>
      <c r="AD5" s="228">
        <f t="shared" ref="AD5:AD12" si="10">Q5/AA5</f>
        <v>0.31205471644343119</v>
      </c>
    </row>
    <row r="6" spans="1:32" x14ac:dyDescent="0.25">
      <c r="B6" t="s">
        <v>344</v>
      </c>
      <c r="C6" t="s">
        <v>215</v>
      </c>
      <c r="D6" s="252">
        <f>'APH - TSM'!C5</f>
        <v>120.04</v>
      </c>
      <c r="E6" s="229">
        <f>'APH - TSM'!E12</f>
        <v>375.35783199999997</v>
      </c>
      <c r="F6" s="229">
        <f t="shared" si="1"/>
        <v>45057.954153279999</v>
      </c>
      <c r="G6">
        <f>SUM('APH - TSM'!E15:E16)</f>
        <v>2000.8999999999999</v>
      </c>
      <c r="H6" s="229">
        <f t="shared" si="2"/>
        <v>47058.854153280001</v>
      </c>
      <c r="I6">
        <v>9452</v>
      </c>
      <c r="J6">
        <v>8352.1</v>
      </c>
      <c r="K6" s="253">
        <v>2594</v>
      </c>
      <c r="L6" s="254">
        <v>3214</v>
      </c>
      <c r="M6" s="254">
        <v>3750</v>
      </c>
      <c r="N6" s="254">
        <v>4133</v>
      </c>
      <c r="Q6" s="254">
        <v>3834</v>
      </c>
      <c r="R6" s="224">
        <v>0.25</v>
      </c>
      <c r="S6" s="228">
        <f t="shared" si="3"/>
        <v>0.90702399380804977</v>
      </c>
      <c r="T6" s="225">
        <f t="shared" si="4"/>
        <v>3100.7999999999993</v>
      </c>
      <c r="U6" s="309">
        <f t="shared" ref="U6:U12" si="11">$U$3</f>
        <v>9.5000000000000001E-2</v>
      </c>
      <c r="V6" s="255">
        <f t="shared" si="5"/>
        <v>15.176359053560375</v>
      </c>
      <c r="W6" s="256">
        <f t="shared" si="6"/>
        <v>0.81202399380804979</v>
      </c>
      <c r="Y6" s="255">
        <f t="shared" si="7"/>
        <v>12.27408819856025</v>
      </c>
      <c r="Z6" s="255">
        <f t="shared" si="8"/>
        <v>11.386124885864989</v>
      </c>
      <c r="AA6" s="254">
        <v>14970</v>
      </c>
      <c r="AB6" s="254">
        <v>5038</v>
      </c>
      <c r="AC6" s="228">
        <f t="shared" si="9"/>
        <v>0.33653974615898463</v>
      </c>
      <c r="AD6" s="228">
        <f t="shared" si="10"/>
        <v>0.25611222444889781</v>
      </c>
    </row>
    <row r="7" spans="1:32" x14ac:dyDescent="0.25">
      <c r="B7" t="s">
        <v>345</v>
      </c>
      <c r="C7" t="s">
        <v>213</v>
      </c>
      <c r="D7" s="252">
        <f>'HEI- TSM'!C5</f>
        <v>238.94</v>
      </c>
      <c r="E7" s="229">
        <f>'HEI- TSM'!E12</f>
        <v>140.88297693939901</v>
      </c>
      <c r="F7" s="229">
        <f t="shared" si="1"/>
        <v>33662.578509899999</v>
      </c>
      <c r="G7">
        <f>SUM('HEI- TSM'!E15:E16)</f>
        <v>2067.2709999999997</v>
      </c>
      <c r="H7" s="229">
        <f t="shared" si="2"/>
        <v>35729.849509899999</v>
      </c>
      <c r="I7">
        <v>3697.4059999999999</v>
      </c>
      <c r="J7">
        <v>3380.2950000000001</v>
      </c>
      <c r="K7" s="253">
        <v>625</v>
      </c>
      <c r="L7" s="254">
        <v>824</v>
      </c>
      <c r="M7" s="254">
        <v>933</v>
      </c>
      <c r="N7" s="254">
        <v>1022</v>
      </c>
      <c r="Q7" s="254">
        <v>1112</v>
      </c>
      <c r="R7" s="224">
        <v>0.25</v>
      </c>
      <c r="S7" s="228">
        <f t="shared" si="3"/>
        <v>0.29347227080224564</v>
      </c>
      <c r="T7" s="225">
        <f t="shared" si="4"/>
        <v>2384.3819999999996</v>
      </c>
      <c r="U7" s="309">
        <f t="shared" si="11"/>
        <v>9.5000000000000001E-2</v>
      </c>
      <c r="V7" s="255">
        <f t="shared" si="5"/>
        <v>14.984951870086254</v>
      </c>
      <c r="W7" s="256">
        <f t="shared" si="6"/>
        <v>0.19847227080224564</v>
      </c>
      <c r="Y7" s="255">
        <f t="shared" si="7"/>
        <v>32.131159631205037</v>
      </c>
      <c r="Z7" s="255">
        <f t="shared" si="8"/>
        <v>34.960713806164385</v>
      </c>
      <c r="AA7" s="254">
        <v>3858</v>
      </c>
      <c r="AB7" s="254">
        <v>1502</v>
      </c>
      <c r="AC7" s="228">
        <f t="shared" si="9"/>
        <v>0.38932089165370659</v>
      </c>
      <c r="AD7" s="228">
        <f>Q7/AA7</f>
        <v>0.28823224468636599</v>
      </c>
    </row>
    <row r="8" spans="1:32" x14ac:dyDescent="0.25">
      <c r="B8" t="s">
        <v>346</v>
      </c>
      <c r="C8" t="s">
        <v>216</v>
      </c>
      <c r="D8" s="252">
        <f>'IEX- TSM'!C5</f>
        <v>212.38</v>
      </c>
      <c r="E8" s="229">
        <f>'IEX- TSM'!E13</f>
        <v>76.088746876400791</v>
      </c>
      <c r="F8" s="229">
        <f t="shared" si="1"/>
        <v>16159.72806161</v>
      </c>
      <c r="G8">
        <f>SUM('IEX- TSM'!E16:E17)</f>
        <v>1442.5</v>
      </c>
      <c r="H8" s="229">
        <f t="shared" si="2"/>
        <v>17602.22806161</v>
      </c>
      <c r="I8">
        <v>3818.9</v>
      </c>
      <c r="J8">
        <v>3316</v>
      </c>
      <c r="K8" s="253">
        <v>743</v>
      </c>
      <c r="L8" s="254">
        <v>704</v>
      </c>
      <c r="M8" s="254">
        <v>787</v>
      </c>
      <c r="N8" s="254">
        <v>887</v>
      </c>
      <c r="Q8" s="254">
        <v>886</v>
      </c>
      <c r="R8" s="224">
        <v>0.25</v>
      </c>
      <c r="S8" s="228">
        <f t="shared" si="3"/>
        <v>0.30340803947774242</v>
      </c>
      <c r="T8" s="225">
        <f t="shared" si="4"/>
        <v>1945.3999999999996</v>
      </c>
      <c r="U8" s="309">
        <f t="shared" si="11"/>
        <v>9.5000000000000001E-2</v>
      </c>
      <c r="V8" s="255">
        <f t="shared" si="5"/>
        <v>9.0481279231057901</v>
      </c>
      <c r="W8" s="256">
        <f t="shared" si="6"/>
        <v>0.20840803947774242</v>
      </c>
      <c r="Y8" s="255">
        <f t="shared" si="7"/>
        <v>19.867074561636567</v>
      </c>
      <c r="Z8" s="255">
        <f t="shared" si="8"/>
        <v>19.844676506888387</v>
      </c>
      <c r="AA8" s="254">
        <v>3277</v>
      </c>
      <c r="AB8" s="254">
        <v>1464</v>
      </c>
      <c r="AC8" s="228">
        <f t="shared" si="9"/>
        <v>0.44675007628928898</v>
      </c>
      <c r="AD8" s="228">
        <f t="shared" si="10"/>
        <v>0.27036924015868175</v>
      </c>
    </row>
    <row r="9" spans="1:32" x14ac:dyDescent="0.25">
      <c r="B9" t="s">
        <v>347</v>
      </c>
      <c r="C9" t="s">
        <v>217</v>
      </c>
      <c r="D9" s="252">
        <f>'ROP- TSM'!C5</f>
        <v>525.4</v>
      </c>
      <c r="E9" s="229">
        <f>'ROP- TSM'!E12</f>
        <v>108.45320615797488</v>
      </c>
      <c r="F9" s="229">
        <f t="shared" si="1"/>
        <v>56981.314515399994</v>
      </c>
      <c r="G9">
        <f>SUM('ROP- TSM'!E15:E16)</f>
        <v>8107</v>
      </c>
      <c r="H9" s="229">
        <f t="shared" si="2"/>
        <v>65088.314515399994</v>
      </c>
      <c r="I9">
        <v>18515.5</v>
      </c>
      <c r="J9" s="257">
        <v>19267.2</v>
      </c>
      <c r="K9" s="253">
        <v>1756</v>
      </c>
      <c r="L9" s="254">
        <v>2011</v>
      </c>
      <c r="M9" s="254">
        <v>2243</v>
      </c>
      <c r="N9" s="254">
        <v>2497</v>
      </c>
      <c r="Q9" s="254">
        <v>2842</v>
      </c>
      <c r="R9" s="224">
        <v>0.25</v>
      </c>
      <c r="S9" s="228">
        <f t="shared" si="3"/>
        <v>0.22871262898862046</v>
      </c>
      <c r="T9" s="225">
        <f t="shared" si="4"/>
        <v>7355.2999999999993</v>
      </c>
      <c r="U9" s="309">
        <f t="shared" si="11"/>
        <v>9.5000000000000001E-2</v>
      </c>
      <c r="V9" s="255">
        <f t="shared" si="5"/>
        <v>8.849171959729718</v>
      </c>
      <c r="W9" s="256">
        <f t="shared" si="6"/>
        <v>0.13371262898862046</v>
      </c>
      <c r="Y9" s="255">
        <f t="shared" si="7"/>
        <v>22.902292229204782</v>
      </c>
      <c r="Z9" s="255">
        <f t="shared" si="8"/>
        <v>26.066605733039644</v>
      </c>
      <c r="AA9" s="254">
        <v>7000</v>
      </c>
      <c r="AB9" s="254">
        <v>4876</v>
      </c>
      <c r="AC9" s="228">
        <f t="shared" si="9"/>
        <v>0.69657142857142862</v>
      </c>
      <c r="AD9" s="228">
        <f t="shared" si="10"/>
        <v>0.40600000000000003</v>
      </c>
    </row>
    <row r="10" spans="1:32" x14ac:dyDescent="0.25">
      <c r="B10" t="s">
        <v>348</v>
      </c>
      <c r="C10" t="s">
        <v>349</v>
      </c>
      <c r="D10" s="252">
        <f>'VRT- TSM'!C5</f>
        <v>120.04</v>
      </c>
      <c r="E10" s="229">
        <f>'VRT- TSM'!E12</f>
        <v>387.88934025874704</v>
      </c>
      <c r="F10" s="229">
        <f t="shared" si="1"/>
        <v>46562.236404659998</v>
      </c>
      <c r="G10">
        <f>SUM('VRT- TSM'!E15:E16)</f>
        <v>2000.8999999999999</v>
      </c>
      <c r="H10" s="229">
        <f t="shared" si="2"/>
        <v>48563.136404659999</v>
      </c>
      <c r="I10">
        <v>1813.7</v>
      </c>
      <c r="J10">
        <v>1348.9</v>
      </c>
      <c r="K10" s="258">
        <v>873</v>
      </c>
      <c r="L10" s="254">
        <v>1329</v>
      </c>
      <c r="M10" s="254">
        <v>1818</v>
      </c>
      <c r="N10" s="254">
        <v>2279</v>
      </c>
      <c r="Q10" s="254">
        <v>1575</v>
      </c>
      <c r="R10" s="224">
        <v>0.25</v>
      </c>
      <c r="S10" s="228">
        <f t="shared" si="3"/>
        <v>0.55298698138459668</v>
      </c>
      <c r="T10" s="225">
        <f t="shared" si="4"/>
        <v>2465.6999999999998</v>
      </c>
      <c r="U10" s="309">
        <f t="shared" si="11"/>
        <v>9.5000000000000001E-2</v>
      </c>
      <c r="V10" s="255">
        <f t="shared" si="5"/>
        <v>19.695476499436268</v>
      </c>
      <c r="W10" s="256">
        <f t="shared" si="6"/>
        <v>0.4579869813845967</v>
      </c>
      <c r="Y10" s="255">
        <f t="shared" si="7"/>
        <v>30.833737399784127</v>
      </c>
      <c r="Z10" s="255">
        <f t="shared" si="8"/>
        <v>21.308967268389644</v>
      </c>
      <c r="AA10" s="254">
        <v>7811</v>
      </c>
      <c r="AB10" s="254">
        <v>2883</v>
      </c>
      <c r="AC10" s="228">
        <f t="shared" si="9"/>
        <v>0.36909486621431314</v>
      </c>
      <c r="AD10" s="228">
        <f t="shared" si="10"/>
        <v>0.20163871463320956</v>
      </c>
    </row>
    <row r="11" spans="1:32" x14ac:dyDescent="0.25">
      <c r="B11" t="s">
        <v>350</v>
      </c>
      <c r="C11" t="s">
        <v>218</v>
      </c>
      <c r="D11" s="252">
        <f>'ETN - TSM'!C5</f>
        <v>338.12</v>
      </c>
      <c r="E11" s="229">
        <f>'ETN - TSM'!E12</f>
        <v>396.72487874127529</v>
      </c>
      <c r="F11" s="229">
        <f t="shared" si="1"/>
        <v>134140.61600000001</v>
      </c>
      <c r="G11">
        <f>SUM('ETN - TSM'!E15:E16)</f>
        <v>7398</v>
      </c>
      <c r="H11" s="229">
        <f t="shared" si="2"/>
        <v>141538.61600000001</v>
      </c>
      <c r="I11">
        <v>19162</v>
      </c>
      <c r="J11">
        <v>15044</v>
      </c>
      <c r="K11" s="258">
        <v>3996</v>
      </c>
      <c r="L11" s="254">
        <v>4971</v>
      </c>
      <c r="M11" s="254">
        <v>5545</v>
      </c>
      <c r="N11" s="254">
        <v>6175</v>
      </c>
      <c r="Q11" s="254">
        <v>5810</v>
      </c>
      <c r="R11" s="224">
        <v>0.25</v>
      </c>
      <c r="S11" s="228">
        <f t="shared" si="3"/>
        <v>0.36112799583188609</v>
      </c>
      <c r="T11" s="225">
        <f t="shared" si="4"/>
        <v>11516</v>
      </c>
      <c r="U11" s="309">
        <f t="shared" si="11"/>
        <v>9.5000000000000001E-2</v>
      </c>
      <c r="V11" s="255">
        <f t="shared" si="5"/>
        <v>12.290605765890936</v>
      </c>
      <c r="W11" s="256">
        <f t="shared" si="6"/>
        <v>0.26612799583188607</v>
      </c>
      <c r="Y11" s="255">
        <f t="shared" si="7"/>
        <v>24.361207573149745</v>
      </c>
      <c r="Z11" s="255">
        <f t="shared" si="8"/>
        <v>22.921233360323889</v>
      </c>
      <c r="AA11" s="254">
        <v>25031</v>
      </c>
      <c r="AB11" s="254">
        <v>9429</v>
      </c>
      <c r="AC11" s="228">
        <f t="shared" si="9"/>
        <v>0.37669290080300427</v>
      </c>
      <c r="AD11" s="228">
        <f t="shared" si="10"/>
        <v>0.23211218089568936</v>
      </c>
    </row>
    <row r="12" spans="1:32" x14ac:dyDescent="0.25">
      <c r="B12" t="s">
        <v>351</v>
      </c>
      <c r="C12" t="s">
        <v>97</v>
      </c>
      <c r="D12" s="252">
        <f>'TDG - TSM'!C5</f>
        <v>1276.1500000000001</v>
      </c>
      <c r="E12" s="229">
        <f>'TDG - TSM'!E13</f>
        <v>59.237412716459666</v>
      </c>
      <c r="F12" s="229">
        <f t="shared" si="1"/>
        <v>75595.824238110014</v>
      </c>
      <c r="G12">
        <f>SUM('TDG - TSM'!E16:E17)</f>
        <v>18619</v>
      </c>
      <c r="H12" s="229">
        <f t="shared" si="2"/>
        <v>94214.824238110014</v>
      </c>
      <c r="I12">
        <v>0</v>
      </c>
      <c r="J12">
        <v>10419</v>
      </c>
      <c r="K12" s="258">
        <v>2923</v>
      </c>
      <c r="L12" s="254">
        <v>3531</v>
      </c>
      <c r="M12" s="254">
        <v>4185</v>
      </c>
      <c r="N12" s="254">
        <v>4637</v>
      </c>
      <c r="Q12" s="254">
        <v>4173</v>
      </c>
      <c r="R12" s="224">
        <v>0.25</v>
      </c>
      <c r="S12" s="228">
        <f t="shared" si="3"/>
        <v>0.38277439024390242</v>
      </c>
      <c r="T12" s="225">
        <f t="shared" si="4"/>
        <v>8200</v>
      </c>
      <c r="U12" s="309">
        <f t="shared" si="11"/>
        <v>9.5000000000000001E-2</v>
      </c>
      <c r="V12" s="255">
        <f t="shared" si="5"/>
        <v>11.489612711964636</v>
      </c>
      <c r="W12" s="256">
        <f t="shared" si="6"/>
        <v>0.28777439024390239</v>
      </c>
      <c r="Y12" s="255">
        <f t="shared" si="7"/>
        <v>22.577240411720588</v>
      </c>
      <c r="Z12" s="255">
        <f t="shared" si="8"/>
        <v>20.318055690772052</v>
      </c>
      <c r="AA12" s="254">
        <v>7940</v>
      </c>
      <c r="AB12" s="254">
        <v>4672</v>
      </c>
      <c r="AC12" s="228">
        <f t="shared" si="9"/>
        <v>0.58841309823677579</v>
      </c>
      <c r="AD12" s="228">
        <f t="shared" si="10"/>
        <v>0.52556675062972291</v>
      </c>
    </row>
    <row r="15" spans="1:32" x14ac:dyDescent="0.25">
      <c r="Y15" t="s">
        <v>352</v>
      </c>
      <c r="Z15" s="259" t="s">
        <v>394</v>
      </c>
    </row>
    <row r="16" spans="1:32" x14ac:dyDescent="0.25">
      <c r="Y16" t="s">
        <v>353</v>
      </c>
      <c r="Z16" s="260">
        <f>W3/0.0193</f>
        <v>16.263672999424294</v>
      </c>
    </row>
    <row r="17" spans="25:26" x14ac:dyDescent="0.25">
      <c r="Y17" t="s">
        <v>354</v>
      </c>
      <c r="Z17" s="261">
        <f>T3</f>
        <v>3375</v>
      </c>
    </row>
    <row r="18" spans="25:26" x14ac:dyDescent="0.25">
      <c r="Y18" s="262" t="s">
        <v>355</v>
      </c>
      <c r="Z18" s="263">
        <f>Z17*Z16</f>
        <v>54889.896373056996</v>
      </c>
    </row>
    <row r="19" spans="25:26" x14ac:dyDescent="0.25">
      <c r="Y19" s="264" t="s">
        <v>356</v>
      </c>
      <c r="Z19" s="265">
        <f>Z18/Q3</f>
        <v>28.889419143714207</v>
      </c>
    </row>
    <row r="21" spans="25:26" x14ac:dyDescent="0.25">
      <c r="Y21" t="s">
        <v>47</v>
      </c>
      <c r="Z21" s="261">
        <f>-G3</f>
        <v>-2919</v>
      </c>
    </row>
    <row r="22" spans="25:26" x14ac:dyDescent="0.25">
      <c r="Y22" t="s">
        <v>357</v>
      </c>
      <c r="Z22" s="261">
        <f>Z18+Z21</f>
        <v>51970.896373056996</v>
      </c>
    </row>
    <row r="23" spans="25:26" x14ac:dyDescent="0.25">
      <c r="Y23" t="s">
        <v>48</v>
      </c>
      <c r="Z23" s="230">
        <f>E3</f>
        <v>406.65837524740596</v>
      </c>
    </row>
    <row r="24" spans="25:26" ht="15.75" thickBot="1" x14ac:dyDescent="0.3">
      <c r="Y24" t="s">
        <v>358</v>
      </c>
      <c r="Z24" s="266">
        <f>Z22/Z23</f>
        <v>127.79989184149605</v>
      </c>
    </row>
    <row r="25" spans="25:26" ht="15.75" thickBot="1" x14ac:dyDescent="0.3">
      <c r="Y25" s="267" t="s">
        <v>359</v>
      </c>
      <c r="Z25" s="268">
        <f>Z24/D3-1</f>
        <v>0.15311641109353102</v>
      </c>
    </row>
  </sheetData>
  <pageMargins left="0.7" right="0.7" top="0.75" bottom="0.75" header="0.3" footer="0.3"/>
  <drawing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B84D8-40E9-4C29-B016-86C034EEE531}">
  <sheetPr>
    <tabColor theme="6"/>
  </sheetPr>
  <dimension ref="B1:AG29"/>
  <sheetViews>
    <sheetView workbookViewId="0">
      <selection activeCell="D23" sqref="D23"/>
    </sheetView>
  </sheetViews>
  <sheetFormatPr defaultRowHeight="15" x14ac:dyDescent="0.25"/>
  <cols>
    <col min="2" max="2" width="18.140625" bestFit="1" customWidth="1"/>
  </cols>
  <sheetData>
    <row r="1" spans="2:33" x14ac:dyDescent="0.25">
      <c r="C1">
        <v>2011</v>
      </c>
      <c r="D1">
        <f>C1+1</f>
        <v>2012</v>
      </c>
      <c r="E1">
        <f t="shared" ref="E1:P1" si="0">D1+1</f>
        <v>2013</v>
      </c>
      <c r="F1">
        <f t="shared" si="0"/>
        <v>2014</v>
      </c>
      <c r="G1">
        <f t="shared" si="0"/>
        <v>2015</v>
      </c>
      <c r="H1">
        <f t="shared" si="0"/>
        <v>2016</v>
      </c>
      <c r="I1">
        <f t="shared" si="0"/>
        <v>2017</v>
      </c>
      <c r="J1">
        <f t="shared" si="0"/>
        <v>2018</v>
      </c>
      <c r="K1">
        <f t="shared" si="0"/>
        <v>2019</v>
      </c>
      <c r="L1">
        <f t="shared" si="0"/>
        <v>2020</v>
      </c>
      <c r="M1">
        <f t="shared" si="0"/>
        <v>2021</v>
      </c>
      <c r="N1">
        <f t="shared" si="0"/>
        <v>2022</v>
      </c>
      <c r="O1">
        <f t="shared" si="0"/>
        <v>2023</v>
      </c>
      <c r="P1">
        <f t="shared" si="0"/>
        <v>2024</v>
      </c>
      <c r="R1" s="327" t="s">
        <v>447</v>
      </c>
      <c r="AA1" s="327" t="s">
        <v>444</v>
      </c>
      <c r="AB1" s="327" t="s">
        <v>445</v>
      </c>
      <c r="AC1" s="327" t="s">
        <v>440</v>
      </c>
      <c r="AD1" s="327" t="s">
        <v>446</v>
      </c>
    </row>
    <row r="2" spans="2:33" x14ac:dyDescent="0.25">
      <c r="B2" t="s">
        <v>213</v>
      </c>
      <c r="AB2" s="228">
        <f>K4/F4-1</f>
        <v>1.2696629213483148</v>
      </c>
      <c r="AC2" s="228">
        <f>L4/E4-1</f>
        <v>2.3432835820895521</v>
      </c>
      <c r="AD2" s="228">
        <f>M4/F4-1</f>
        <v>1.7865168539325844</v>
      </c>
      <c r="AE2" t="s">
        <v>441</v>
      </c>
      <c r="AF2">
        <v>302</v>
      </c>
      <c r="AG2" s="228">
        <f>AF2/$AF$4</f>
        <v>0.52889667250437833</v>
      </c>
    </row>
    <row r="3" spans="2:33" x14ac:dyDescent="0.25">
      <c r="B3" t="s">
        <v>437</v>
      </c>
      <c r="C3">
        <v>11</v>
      </c>
      <c r="D3">
        <v>36</v>
      </c>
      <c r="E3">
        <v>20</v>
      </c>
      <c r="F3">
        <v>22</v>
      </c>
      <c r="G3">
        <v>16</v>
      </c>
      <c r="H3">
        <v>19</v>
      </c>
      <c r="I3">
        <v>27</v>
      </c>
      <c r="J3">
        <v>25</v>
      </c>
      <c r="K3">
        <v>26</v>
      </c>
      <c r="L3">
        <v>22</v>
      </c>
      <c r="M3">
        <v>24</v>
      </c>
      <c r="N3">
        <v>15</v>
      </c>
      <c r="O3">
        <v>5</v>
      </c>
      <c r="Q3" s="224">
        <f>(K3/E3)^(1/($K$1-$E$1))-1</f>
        <v>4.4697507923277202E-2</v>
      </c>
      <c r="R3" s="224">
        <f>(N3/F3)^(1/($N$1-$F$1))-1</f>
        <v>-4.6746140557043514E-2</v>
      </c>
      <c r="AA3" s="224">
        <f>(F3/C3)^(1/($F$1-$C$1))-1</f>
        <v>0.25992104989487319</v>
      </c>
      <c r="AB3" s="224">
        <f>(K3/F3)^(1/($K$1-$F$1))-1</f>
        <v>3.3975226531950176E-2</v>
      </c>
      <c r="AC3" s="224">
        <f>(N3/F3)^(1/($N$1-$F$1))-1</f>
        <v>-4.6746140557043514E-2</v>
      </c>
      <c r="AD3" s="224">
        <f>(P3/K3)^(1/($P$1-$K$1))-1</f>
        <v>-1</v>
      </c>
      <c r="AE3" t="s">
        <v>442</v>
      </c>
      <c r="AF3">
        <v>269</v>
      </c>
      <c r="AG3" s="228">
        <f>AF3/$AF$4</f>
        <v>0.47110332749562173</v>
      </c>
    </row>
    <row r="4" spans="2:33" x14ac:dyDescent="0.25">
      <c r="B4" t="s">
        <v>437</v>
      </c>
      <c r="C4">
        <f>SUM($C$3:C3)</f>
        <v>11</v>
      </c>
      <c r="D4">
        <f>SUM($C$3:D3)</f>
        <v>47</v>
      </c>
      <c r="E4">
        <f>SUM($C$3:E3)</f>
        <v>67</v>
      </c>
      <c r="F4">
        <f>SUM($C$3:F3)</f>
        <v>89</v>
      </c>
      <c r="G4">
        <f>SUM($C$3:G3)</f>
        <v>105</v>
      </c>
      <c r="H4">
        <f>SUM($C$3:H3)</f>
        <v>124</v>
      </c>
      <c r="I4">
        <f>SUM($C$3:I3)</f>
        <v>151</v>
      </c>
      <c r="J4">
        <f>SUM($C$3:J3)</f>
        <v>176</v>
      </c>
      <c r="K4">
        <f>SUM($C$3:K3)</f>
        <v>202</v>
      </c>
      <c r="L4">
        <f>SUM($C$3:L3)</f>
        <v>224</v>
      </c>
      <c r="M4">
        <f>SUM($C$3:M3)</f>
        <v>248</v>
      </c>
      <c r="N4">
        <f>SUM($C$3:N3)</f>
        <v>263</v>
      </c>
      <c r="O4">
        <f>SUM($C$3:O3)</f>
        <v>268</v>
      </c>
      <c r="Q4" s="224">
        <f>(K4/E4)^(1/($K$1-$E$1))-1</f>
        <v>0.20193069895138471</v>
      </c>
      <c r="R4" s="224">
        <f t="shared" ref="R4:R5" si="1">(N4/F4)^(1/($N$1-$F$1))-1</f>
        <v>0.14504015676958848</v>
      </c>
      <c r="AA4" s="224">
        <f>(F4/C4)^(1/($F$1-$C$1))-1</f>
        <v>1.0075472413251729</v>
      </c>
      <c r="AB4" s="224">
        <f>(K4/F4)^(1/($K$1-$F$1))-1</f>
        <v>0.17812744329190733</v>
      </c>
      <c r="AC4" s="224">
        <f>(N4/F4)^(1/($N$1-$F$1))-1</f>
        <v>0.14504015676958848</v>
      </c>
      <c r="AF4">
        <f>SUM(AF2:AF3)</f>
        <v>571</v>
      </c>
    </row>
    <row r="5" spans="2:33" x14ac:dyDescent="0.25">
      <c r="D5" s="228">
        <f>D4/C4-1</f>
        <v>3.2727272727272725</v>
      </c>
      <c r="E5" s="228">
        <f t="shared" ref="E5:O5" si="2">E4/D4-1</f>
        <v>0.42553191489361697</v>
      </c>
      <c r="F5" s="228">
        <f t="shared" si="2"/>
        <v>0.32835820895522394</v>
      </c>
      <c r="G5" s="228">
        <f t="shared" si="2"/>
        <v>0.1797752808988764</v>
      </c>
      <c r="H5" s="228">
        <f t="shared" si="2"/>
        <v>0.18095238095238098</v>
      </c>
      <c r="I5" s="228">
        <f t="shared" si="2"/>
        <v>0.217741935483871</v>
      </c>
      <c r="J5" s="228">
        <f t="shared" si="2"/>
        <v>0.16556291390728473</v>
      </c>
      <c r="K5" s="228">
        <f t="shared" si="2"/>
        <v>0.14772727272727271</v>
      </c>
      <c r="L5" s="228">
        <f t="shared" si="2"/>
        <v>0.10891089108910901</v>
      </c>
      <c r="M5" s="228">
        <f t="shared" si="2"/>
        <v>0.10714285714285721</v>
      </c>
      <c r="N5" s="228">
        <f t="shared" si="2"/>
        <v>6.0483870967741993E-2</v>
      </c>
      <c r="O5" s="228">
        <f t="shared" si="2"/>
        <v>1.9011406844106515E-2</v>
      </c>
      <c r="R5" s="224">
        <f t="shared" si="1"/>
        <v>-0.19060323827211767</v>
      </c>
    </row>
    <row r="6" spans="2:33" x14ac:dyDescent="0.25">
      <c r="B6" t="s">
        <v>439</v>
      </c>
      <c r="F6" s="228">
        <f>(1132311-733999)/1132311</f>
        <v>0.35176908110934185</v>
      </c>
      <c r="K6" s="228">
        <f>(2055647-1241807)/2055647</f>
        <v>0.39590454975975936</v>
      </c>
      <c r="P6" s="228">
        <f>(3857669-2355943)/3857669</f>
        <v>0.38928326924886503</v>
      </c>
      <c r="Q6" s="228"/>
      <c r="R6" s="224">
        <f>P6-F6</f>
        <v>3.7514188139523175E-2</v>
      </c>
      <c r="S6" s="228"/>
      <c r="T6" s="228"/>
      <c r="U6" s="228"/>
      <c r="V6" s="228"/>
      <c r="W6" s="228"/>
      <c r="X6" s="228"/>
      <c r="Y6" s="228"/>
      <c r="Z6" s="228"/>
      <c r="AA6" s="224"/>
      <c r="AB6" s="224">
        <f>(K6/F6)^(1/($K$1-$F$1))-1</f>
        <v>2.3921272255400527E-2</v>
      </c>
      <c r="AC6" s="224">
        <f>(P6/K6)^(1/($P$1-$K$1))-1</f>
        <v>-3.3674910500142152E-3</v>
      </c>
      <c r="AD6" s="224">
        <f>(P6/K6)^(1/($P$1-$K$1))-1</f>
        <v>-3.3674910500142152E-3</v>
      </c>
    </row>
    <row r="7" spans="2:33" x14ac:dyDescent="0.25">
      <c r="B7" t="s">
        <v>438</v>
      </c>
      <c r="F7" s="225">
        <v>1.8</v>
      </c>
      <c r="K7">
        <v>2.39</v>
      </c>
      <c r="P7">
        <v>3.67</v>
      </c>
      <c r="R7" s="224">
        <f>(P7/F7)^(1/($P$1-$F$1))-1</f>
        <v>7.3839452899268965E-2</v>
      </c>
      <c r="AA7" s="224"/>
      <c r="AB7" s="224">
        <f>(K7/F7)^(1/($K$1-$F$1))-1</f>
        <v>5.833967968175946E-2</v>
      </c>
      <c r="AC7" s="224">
        <f>(P7/K7)^(1/($P$1-$K$1))-1</f>
        <v>8.9566225986863923E-2</v>
      </c>
      <c r="AD7" s="224">
        <f>(P7/K7)^(1/($P$1-$K$1))-1</f>
        <v>8.9566225986863923E-2</v>
      </c>
    </row>
    <row r="9" spans="2:33" x14ac:dyDescent="0.25">
      <c r="B9" t="s">
        <v>314</v>
      </c>
      <c r="AB9" s="228">
        <f>K11/F11-1</f>
        <v>1.3474264705882355</v>
      </c>
      <c r="AC9" s="228">
        <f>L11/E11-1</f>
        <v>2.4800995024875623</v>
      </c>
      <c r="AD9" s="228">
        <f>M11/F11-1</f>
        <v>1.7095588235294117</v>
      </c>
    </row>
    <row r="10" spans="2:33" x14ac:dyDescent="0.25">
      <c r="B10" t="s">
        <v>437</v>
      </c>
      <c r="C10">
        <v>144</v>
      </c>
      <c r="D10">
        <v>132</v>
      </c>
      <c r="E10">
        <v>126</v>
      </c>
      <c r="F10">
        <v>142</v>
      </c>
      <c r="G10">
        <v>115</v>
      </c>
      <c r="H10">
        <v>151</v>
      </c>
      <c r="I10">
        <v>172</v>
      </c>
      <c r="J10">
        <v>133</v>
      </c>
      <c r="K10">
        <v>162</v>
      </c>
      <c r="L10">
        <v>122</v>
      </c>
      <c r="M10">
        <v>75</v>
      </c>
      <c r="N10">
        <v>34</v>
      </c>
      <c r="Q10" s="224">
        <f>(K10/E10)^(1/($K$1-$E$1))-1</f>
        <v>4.2775322398306503E-2</v>
      </c>
      <c r="R10" s="224">
        <f>(N10/F10)^(1/($N$1-$F$1))-1</f>
        <v>-0.16362927783305736</v>
      </c>
      <c r="AA10" s="224">
        <f t="shared" ref="AA10:AA11" si="3">(F10/C10)^(1/($F$1-$C$1))-1</f>
        <v>-4.6512300289333064E-3</v>
      </c>
      <c r="AB10" s="224">
        <f>(K10/F10)^(1/($K$1-$F$1))-1</f>
        <v>2.6704189153420765E-2</v>
      </c>
      <c r="AC10" s="224">
        <f>(N10/F10)^(1/($N$1-$F$1))-1</f>
        <v>-0.16362927783305736</v>
      </c>
      <c r="AE10" t="s">
        <v>441</v>
      </c>
      <c r="AF10">
        <v>1828</v>
      </c>
      <c r="AG10" s="228">
        <f>AF10/$AF$12</f>
        <v>0.30935860551700795</v>
      </c>
    </row>
    <row r="11" spans="2:33" x14ac:dyDescent="0.25">
      <c r="B11" t="s">
        <v>437</v>
      </c>
      <c r="C11">
        <f>SUM($C$10:C10)</f>
        <v>144</v>
      </c>
      <c r="D11">
        <f>SUM($C$10:D10)</f>
        <v>276</v>
      </c>
      <c r="E11">
        <f>SUM($C$10:E10)</f>
        <v>402</v>
      </c>
      <c r="F11">
        <f>SUM($C$10:F10)</f>
        <v>544</v>
      </c>
      <c r="G11">
        <f>SUM($C$10:G10)</f>
        <v>659</v>
      </c>
      <c r="H11">
        <f>SUM($C$10:H10)</f>
        <v>810</v>
      </c>
      <c r="I11">
        <f>SUM($C$10:I10)</f>
        <v>982</v>
      </c>
      <c r="J11">
        <f>SUM($C$10:J10)</f>
        <v>1115</v>
      </c>
      <c r="K11">
        <f>SUM($C$10:K10)</f>
        <v>1277</v>
      </c>
      <c r="L11">
        <f>SUM($C$10:L10)</f>
        <v>1399</v>
      </c>
      <c r="M11">
        <f>SUM($C$10:M10)</f>
        <v>1474</v>
      </c>
      <c r="N11">
        <f>SUM($C$10:N10)</f>
        <v>1508</v>
      </c>
      <c r="Q11" s="224">
        <f>(K11/E11)^(1/($K$1-$E$1))-1</f>
        <v>0.21244153959758427</v>
      </c>
      <c r="R11" s="224">
        <f t="shared" ref="R11:R12" si="4">(N11/F11)^(1/($N$1-$F$1))-1</f>
        <v>0.13592669334883922</v>
      </c>
      <c r="AA11" s="224">
        <f t="shared" si="3"/>
        <v>0.55744290945175323</v>
      </c>
      <c r="AB11" s="224">
        <f>(K11/F11)^(1/($K$1-$F$1))-1</f>
        <v>0.18609206238705878</v>
      </c>
      <c r="AC11" s="224">
        <f>(N11/F11)^(1/($N$1-$F$1))-1</f>
        <v>0.13592669334883922</v>
      </c>
      <c r="AE11" t="s">
        <v>443</v>
      </c>
      <c r="AF11">
        <v>4081</v>
      </c>
      <c r="AG11" s="228">
        <f>AF11/$AF$12</f>
        <v>0.690641394482992</v>
      </c>
    </row>
    <row r="12" spans="2:33" x14ac:dyDescent="0.25">
      <c r="D12" s="228">
        <f>D11/C11-1</f>
        <v>0.91666666666666674</v>
      </c>
      <c r="E12" s="228">
        <f t="shared" ref="E12:N12" si="5">E11/D11-1</f>
        <v>0.45652173913043481</v>
      </c>
      <c r="F12" s="228">
        <f t="shared" si="5"/>
        <v>0.3532338308457712</v>
      </c>
      <c r="G12" s="228">
        <f t="shared" si="5"/>
        <v>0.21139705882352944</v>
      </c>
      <c r="H12" s="228">
        <f t="shared" si="5"/>
        <v>0.22913505311077387</v>
      </c>
      <c r="I12" s="228">
        <f t="shared" si="5"/>
        <v>0.21234567901234569</v>
      </c>
      <c r="J12" s="228">
        <f t="shared" si="5"/>
        <v>0.13543788187372718</v>
      </c>
      <c r="K12" s="228">
        <f t="shared" si="5"/>
        <v>0.14529147982062773</v>
      </c>
      <c r="L12" s="228">
        <f t="shared" si="5"/>
        <v>9.553641346906816E-2</v>
      </c>
      <c r="M12" s="228">
        <f t="shared" si="5"/>
        <v>5.3609721229449514E-2</v>
      </c>
      <c r="N12" s="228">
        <f t="shared" si="5"/>
        <v>2.3066485753052923E-2</v>
      </c>
      <c r="O12" s="228"/>
      <c r="R12" s="224">
        <f t="shared" si="4"/>
        <v>-0.28900770752565585</v>
      </c>
      <c r="AF12">
        <f>SUM(AF10:AF11)</f>
        <v>5909</v>
      </c>
    </row>
    <row r="13" spans="2:33" x14ac:dyDescent="0.25">
      <c r="R13" s="224"/>
    </row>
    <row r="14" spans="2:33" x14ac:dyDescent="0.25">
      <c r="B14" t="s">
        <v>439</v>
      </c>
      <c r="F14" s="228">
        <f>(23906-19137)/23906</f>
        <v>0.19948966786580774</v>
      </c>
      <c r="K14" s="228">
        <f>(14192-11227)/14192</f>
        <v>0.20892051860202931</v>
      </c>
      <c r="P14" s="228">
        <f>(5539-3830)/5539</f>
        <v>0.30853944755371004</v>
      </c>
      <c r="Q14" s="228"/>
      <c r="R14" s="224">
        <f>P14-F14</f>
        <v>0.1090497796879023</v>
      </c>
      <c r="S14" s="228"/>
      <c r="T14" s="228"/>
      <c r="U14" s="228"/>
      <c r="V14" s="228"/>
      <c r="W14" s="228"/>
      <c r="X14" s="228"/>
      <c r="Y14" s="228"/>
      <c r="Z14" s="228"/>
      <c r="AA14" s="228"/>
      <c r="AB14" s="224">
        <f>(K14/F14)^(1/($K$1-$F$1))-1</f>
        <v>9.2810929014093269E-3</v>
      </c>
      <c r="AC14" s="224">
        <f>(P14/K14)^(1/($P$1-$K$1))-1</f>
        <v>8.1100132243852707E-2</v>
      </c>
      <c r="AD14" s="224">
        <f>(P14/K14)^(1/($P$1-$K$1))-1</f>
        <v>8.1100132243852707E-2</v>
      </c>
    </row>
    <row r="15" spans="2:33" x14ac:dyDescent="0.25">
      <c r="B15" t="s">
        <v>438</v>
      </c>
      <c r="F15" s="225">
        <v>0.21</v>
      </c>
      <c r="K15">
        <v>1.03</v>
      </c>
      <c r="P15" s="225">
        <f>2.06/9*12</f>
        <v>2.7466666666666666</v>
      </c>
      <c r="Q15" s="225"/>
      <c r="R15" s="224">
        <f>(P15/F15)^(1/($P$1-$F$1))-1</f>
        <v>0.29317906776517733</v>
      </c>
      <c r="S15" s="225"/>
      <c r="T15" s="225"/>
      <c r="U15" s="225"/>
      <c r="V15" s="225"/>
      <c r="W15" s="225"/>
      <c r="X15" s="225"/>
      <c r="Y15" s="225"/>
      <c r="Z15" s="225"/>
      <c r="AA15" s="225"/>
      <c r="AB15" s="224">
        <f>(K15/F15)^(1/($K$1-$F$1))-1</f>
        <v>0.37443303802277739</v>
      </c>
      <c r="AC15" s="224">
        <f>(P15/K15)^(1/($P$1-$K$1))-1</f>
        <v>0.21672868378641152</v>
      </c>
      <c r="AD15" s="224">
        <f>(P15/K15)^(1/($P$1-$K$1))-1</f>
        <v>0.21672868378641152</v>
      </c>
    </row>
    <row r="17" spans="2:30" x14ac:dyDescent="0.25">
      <c r="B17" t="s">
        <v>434</v>
      </c>
      <c r="C17">
        <v>3</v>
      </c>
      <c r="D17">
        <v>41</v>
      </c>
      <c r="E17">
        <v>264</v>
      </c>
      <c r="F17">
        <v>739</v>
      </c>
      <c r="G17">
        <v>1239</v>
      </c>
      <c r="H17">
        <v>1484</v>
      </c>
      <c r="I17">
        <v>1772</v>
      </c>
      <c r="J17">
        <v>1895</v>
      </c>
      <c r="K17">
        <v>2391</v>
      </c>
      <c r="L17">
        <v>2337</v>
      </c>
      <c r="M17">
        <v>2038</v>
      </c>
      <c r="AC17" s="224">
        <f>(M17/C17)^(1/($M$1-$C$1))-1</f>
        <v>0.91958917638415594</v>
      </c>
    </row>
    <row r="18" spans="2:30" x14ac:dyDescent="0.25">
      <c r="B18" t="s">
        <v>437</v>
      </c>
      <c r="C18">
        <f>SUM($C$17:C17)</f>
        <v>3</v>
      </c>
      <c r="D18">
        <f>SUM($C$17:D17)</f>
        <v>44</v>
      </c>
      <c r="E18">
        <f>SUM($C$17:E17)</f>
        <v>308</v>
      </c>
      <c r="F18">
        <f>SUM($C$17:F17)</f>
        <v>1047</v>
      </c>
      <c r="G18">
        <f>SUM($C$17:G17)</f>
        <v>2286</v>
      </c>
      <c r="H18">
        <f>SUM($C$17:H17)</f>
        <v>3770</v>
      </c>
      <c r="I18">
        <f>SUM($C$17:I17)</f>
        <v>5542</v>
      </c>
      <c r="J18">
        <f>SUM($C$17:J17)</f>
        <v>7437</v>
      </c>
      <c r="K18">
        <f>SUM($C$17:K17)</f>
        <v>9828</v>
      </c>
      <c r="L18">
        <f>SUM($C$17:L17)</f>
        <v>12165</v>
      </c>
      <c r="M18">
        <f>SUM($C$17:M17)</f>
        <v>14203</v>
      </c>
      <c r="AC18" s="224">
        <f>(M18/C18)^(1/($M$1-$C$1))-1</f>
        <v>1.3309120296446788</v>
      </c>
    </row>
    <row r="21" spans="2:30" x14ac:dyDescent="0.25">
      <c r="B21" t="s">
        <v>439</v>
      </c>
    </row>
    <row r="23" spans="2:30" x14ac:dyDescent="0.25">
      <c r="B23" t="s">
        <v>432</v>
      </c>
      <c r="AB23" s="228">
        <f>K25/F25-1</f>
        <v>2.1636363636363636</v>
      </c>
      <c r="AD23" s="228">
        <f>M25/F25-1</f>
        <v>2.9890909090909092</v>
      </c>
    </row>
    <row r="24" spans="2:30" x14ac:dyDescent="0.25">
      <c r="B24" t="s">
        <v>437</v>
      </c>
      <c r="C24">
        <v>49</v>
      </c>
      <c r="D24">
        <v>50</v>
      </c>
      <c r="E24">
        <v>72</v>
      </c>
      <c r="F24">
        <v>104</v>
      </c>
      <c r="G24">
        <v>119</v>
      </c>
      <c r="H24">
        <v>113</v>
      </c>
      <c r="I24">
        <v>133</v>
      </c>
      <c r="J24">
        <v>113</v>
      </c>
      <c r="K24">
        <v>117</v>
      </c>
      <c r="L24">
        <v>133</v>
      </c>
      <c r="M24">
        <v>94</v>
      </c>
      <c r="N24">
        <v>74</v>
      </c>
      <c r="O24">
        <v>7</v>
      </c>
      <c r="AA24" s="224">
        <f t="shared" ref="AA24:AA25" si="6">(F24/C24)^(1/($F$1-$C$1))-1</f>
        <v>0.28512612722154707</v>
      </c>
      <c r="AB24" s="224">
        <f>(K24/F24)^(1/($K$1-$F$1))-1</f>
        <v>2.3836255539609663E-2</v>
      </c>
      <c r="AC24" s="224">
        <f>(N24/F24)^(1/($N$1-$F$1))-1</f>
        <v>-4.1648564847255543E-2</v>
      </c>
    </row>
    <row r="25" spans="2:30" x14ac:dyDescent="0.25">
      <c r="B25" t="s">
        <v>437</v>
      </c>
      <c r="C25">
        <f>SUM($C$24:C24)</f>
        <v>49</v>
      </c>
      <c r="D25">
        <f>SUM($C$24:D24)</f>
        <v>99</v>
      </c>
      <c r="E25">
        <f>SUM($C$24:E24)</f>
        <v>171</v>
      </c>
      <c r="F25">
        <f>SUM($C$24:F24)</f>
        <v>275</v>
      </c>
      <c r="G25">
        <f>SUM($C$24:G24)</f>
        <v>394</v>
      </c>
      <c r="H25">
        <f>SUM($C$24:H24)</f>
        <v>507</v>
      </c>
      <c r="I25">
        <f>SUM($C$24:I24)</f>
        <v>640</v>
      </c>
      <c r="J25">
        <f>SUM($C$24:J24)</f>
        <v>753</v>
      </c>
      <c r="K25">
        <f>SUM($C$24:K24)</f>
        <v>870</v>
      </c>
      <c r="L25">
        <f>SUM($C$24:L24)</f>
        <v>1003</v>
      </c>
      <c r="M25">
        <f>SUM($C$24:M24)</f>
        <v>1097</v>
      </c>
      <c r="N25">
        <f>SUM($C$24:N24)</f>
        <v>1171</v>
      </c>
      <c r="AA25" s="224">
        <f t="shared" si="6"/>
        <v>0.77710138194934042</v>
      </c>
      <c r="AB25" s="224">
        <f>(K25/F25)^(1/($K$1-$F$1))-1</f>
        <v>0.2590335751250441</v>
      </c>
      <c r="AC25" s="224">
        <f>(N25/F25)^(1/($N$1-$F$1))-1</f>
        <v>0.1985413589699967</v>
      </c>
    </row>
    <row r="26" spans="2:30" x14ac:dyDescent="0.25">
      <c r="D26" s="228">
        <f>D25/C25-1</f>
        <v>1.0204081632653059</v>
      </c>
      <c r="E26" s="228">
        <f t="shared" ref="E26" si="7">E25/D25-1</f>
        <v>0.72727272727272729</v>
      </c>
      <c r="F26" s="228">
        <f t="shared" ref="F26" si="8">F25/E25-1</f>
        <v>0.60818713450292394</v>
      </c>
      <c r="G26" s="228">
        <f t="shared" ref="G26" si="9">G25/F25-1</f>
        <v>0.43272727272727263</v>
      </c>
      <c r="H26" s="228">
        <f t="shared" ref="H26" si="10">H25/G25-1</f>
        <v>0.28680203045685282</v>
      </c>
      <c r="I26" s="228">
        <f t="shared" ref="I26" si="11">I25/H25-1</f>
        <v>0.26232741617357003</v>
      </c>
      <c r="J26" s="228">
        <f t="shared" ref="J26" si="12">J25/I25-1</f>
        <v>0.17656249999999996</v>
      </c>
      <c r="K26" s="228">
        <f t="shared" ref="K26" si="13">K25/J25-1</f>
        <v>0.15537848605577698</v>
      </c>
      <c r="L26" s="228">
        <f t="shared" ref="L26" si="14">L25/K25-1</f>
        <v>0.15287356321839085</v>
      </c>
      <c r="M26" s="228">
        <f t="shared" ref="M26" si="15">M25/L25-1</f>
        <v>9.3718843469591251E-2</v>
      </c>
      <c r="N26" s="228">
        <f t="shared" ref="N26" si="16">N25/M25-1</f>
        <v>6.7456700091157673E-2</v>
      </c>
      <c r="O26" s="228"/>
    </row>
    <row r="28" spans="2:30" x14ac:dyDescent="0.25">
      <c r="B28" t="s">
        <v>439</v>
      </c>
      <c r="F28" s="228">
        <f>508.8/1855.5</f>
        <v>0.27421180274858531</v>
      </c>
      <c r="K28" s="228">
        <f>640.4/2355.7</f>
        <v>0.2718512544042111</v>
      </c>
      <c r="P28" s="228">
        <f>330.1/1331.5</f>
        <v>0.24791588434096884</v>
      </c>
      <c r="AB28" s="224">
        <f>(K28/F28)^(1/($K$1-$F$1))-1</f>
        <v>-1.7276564008013029E-3</v>
      </c>
      <c r="AC28" s="224">
        <f>(P28/K28)^(1/($P$1-$K$1))-1</f>
        <v>-1.8264258381607945E-2</v>
      </c>
      <c r="AD28" s="224">
        <f>(P28/K28)^(1/($P$1-$K$1))-1</f>
        <v>-1.8264258381607945E-2</v>
      </c>
    </row>
    <row r="29" spans="2:30" x14ac:dyDescent="0.25">
      <c r="B29" t="s">
        <v>438</v>
      </c>
      <c r="F29" s="225">
        <v>2.12</v>
      </c>
      <c r="K29">
        <v>3.61</v>
      </c>
      <c r="P29" s="225">
        <f>1.46/9*12</f>
        <v>1.9466666666666665</v>
      </c>
      <c r="AB29" s="224">
        <f>(K29/F29)^(1/($K$1-$F$1))-1</f>
        <v>0.11233158211164596</v>
      </c>
      <c r="AC29" s="224">
        <f>(P29/K29)^(1/($P$1-$K$1))-1</f>
        <v>-0.11619413733661021</v>
      </c>
      <c r="AD29" s="224">
        <f>(P29/K29)^(1/($P$1-$K$1))-1</f>
        <v>-0.11619413733661021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34AF0-5CE0-4305-A1BD-B125D78A1A8C}">
  <sheetPr>
    <tabColor theme="6"/>
  </sheetPr>
  <dimension ref="B2:AA38"/>
  <sheetViews>
    <sheetView showGridLines="0" zoomScale="99" workbookViewId="0">
      <selection activeCell="M31" sqref="M31"/>
    </sheetView>
  </sheetViews>
  <sheetFormatPr defaultRowHeight="15" x14ac:dyDescent="0.25"/>
  <cols>
    <col min="2" max="2" width="25.140625" bestFit="1" customWidth="1"/>
    <col min="3" max="3" width="10.5703125" bestFit="1" customWidth="1"/>
    <col min="4" max="4" width="10.5703125" customWidth="1"/>
    <col min="5" max="5" width="10.5703125" bestFit="1" customWidth="1"/>
    <col min="6" max="6" width="12" bestFit="1" customWidth="1"/>
    <col min="7" max="7" width="12.5703125" bestFit="1" customWidth="1"/>
    <col min="8" max="9" width="12" customWidth="1"/>
    <col min="10" max="12" width="12" bestFit="1" customWidth="1"/>
    <col min="13" max="13" width="10.5703125" bestFit="1" customWidth="1"/>
  </cols>
  <sheetData>
    <row r="2" spans="2:13" x14ac:dyDescent="0.25">
      <c r="B2" s="302"/>
      <c r="C2" s="308" t="str">
        <f>ROIC!B3</f>
        <v>HWM</v>
      </c>
      <c r="D2" s="308"/>
      <c r="E2" s="308" t="s">
        <v>343</v>
      </c>
      <c r="F2" s="308" t="s">
        <v>344</v>
      </c>
      <c r="G2" s="308" t="s">
        <v>360</v>
      </c>
      <c r="H2" s="308" t="s">
        <v>350</v>
      </c>
      <c r="I2" s="308" t="s">
        <v>351</v>
      </c>
      <c r="J2" s="308" t="s">
        <v>345</v>
      </c>
      <c r="K2" s="308" t="s">
        <v>346</v>
      </c>
      <c r="L2" s="308" t="s">
        <v>347</v>
      </c>
      <c r="M2" s="308" t="s">
        <v>348</v>
      </c>
    </row>
    <row r="3" spans="2:13" x14ac:dyDescent="0.25">
      <c r="B3" t="s">
        <v>21</v>
      </c>
      <c r="C3" s="305">
        <v>0.25</v>
      </c>
      <c r="D3" s="305"/>
      <c r="E3" s="305">
        <v>0.25</v>
      </c>
      <c r="F3" s="305">
        <v>0.25</v>
      </c>
      <c r="G3" s="305">
        <v>0.25</v>
      </c>
      <c r="H3" s="305">
        <v>0.25</v>
      </c>
      <c r="I3" s="305">
        <v>0.25</v>
      </c>
      <c r="J3" s="305">
        <v>0.25</v>
      </c>
      <c r="K3" s="305">
        <v>0.25</v>
      </c>
      <c r="L3" s="305">
        <v>0.25</v>
      </c>
      <c r="M3" s="305">
        <v>0.25</v>
      </c>
    </row>
    <row r="5" spans="2:13" x14ac:dyDescent="0.25">
      <c r="B5" s="302" t="s">
        <v>27</v>
      </c>
      <c r="C5" s="302"/>
      <c r="D5" s="302"/>
      <c r="E5" s="302"/>
      <c r="F5" s="302"/>
      <c r="G5" s="302"/>
      <c r="H5" s="302"/>
      <c r="I5" s="302"/>
      <c r="J5" s="302"/>
      <c r="K5" s="302"/>
      <c r="L5" s="302"/>
      <c r="M5" s="302"/>
    </row>
    <row r="6" spans="2:13" x14ac:dyDescent="0.25">
      <c r="B6" s="306">
        <v>2023</v>
      </c>
      <c r="C6" s="226">
        <v>1200</v>
      </c>
      <c r="D6" s="226"/>
      <c r="E6" s="226">
        <v>1707</v>
      </c>
      <c r="F6" s="226">
        <v>2594</v>
      </c>
      <c r="G6" s="226">
        <v>-432</v>
      </c>
      <c r="H6" s="226">
        <v>3996</v>
      </c>
      <c r="I6" s="226">
        <v>2923</v>
      </c>
      <c r="J6" s="226">
        <v>625</v>
      </c>
      <c r="K6" s="226">
        <v>743</v>
      </c>
      <c r="L6" s="226">
        <v>1756</v>
      </c>
      <c r="M6" s="226">
        <v>873</v>
      </c>
    </row>
    <row r="7" spans="2:13" x14ac:dyDescent="0.25">
      <c r="B7" s="307">
        <f>B6+1</f>
        <v>2024</v>
      </c>
      <c r="C7" s="226">
        <v>1620</v>
      </c>
      <c r="D7" s="226"/>
      <c r="E7" s="226">
        <v>1805</v>
      </c>
      <c r="F7" s="226">
        <v>3214</v>
      </c>
      <c r="G7" s="226">
        <f>-289+527-359+852</f>
        <v>731</v>
      </c>
      <c r="H7" s="226">
        <v>4971</v>
      </c>
      <c r="I7" s="226">
        <v>3531</v>
      </c>
      <c r="J7" s="226">
        <v>824</v>
      </c>
      <c r="K7" s="226">
        <v>704</v>
      </c>
      <c r="L7" s="226">
        <v>2011</v>
      </c>
      <c r="M7" s="226">
        <v>1329</v>
      </c>
    </row>
    <row r="8" spans="2:13" x14ac:dyDescent="0.25">
      <c r="B8" s="307">
        <f t="shared" ref="B8:B9" si="0">B7+1</f>
        <v>2025</v>
      </c>
      <c r="C8" s="226">
        <v>1840</v>
      </c>
      <c r="D8" s="226"/>
      <c r="E8" s="226">
        <v>1966</v>
      </c>
      <c r="F8" s="226">
        <v>3750</v>
      </c>
      <c r="G8" s="226">
        <f>145+481+489+1003</f>
        <v>2118</v>
      </c>
      <c r="H8" s="226">
        <v>5545</v>
      </c>
      <c r="I8" s="226">
        <v>4185</v>
      </c>
      <c r="J8" s="226">
        <v>933</v>
      </c>
      <c r="K8" s="226">
        <v>787</v>
      </c>
      <c r="L8" s="226">
        <v>2243</v>
      </c>
      <c r="M8" s="226">
        <v>1818</v>
      </c>
    </row>
    <row r="9" spans="2:13" x14ac:dyDescent="0.25">
      <c r="B9" s="307">
        <f t="shared" si="0"/>
        <v>2026</v>
      </c>
      <c r="C9" s="226">
        <v>2140</v>
      </c>
      <c r="D9" s="226"/>
      <c r="E9" s="226">
        <v>2123</v>
      </c>
      <c r="F9" s="226">
        <v>4133</v>
      </c>
      <c r="G9" s="226">
        <f>413+733+818+1321</f>
        <v>3285</v>
      </c>
      <c r="H9" s="226">
        <v>6175</v>
      </c>
      <c r="I9" s="226">
        <v>4637</v>
      </c>
      <c r="J9" s="226">
        <v>1022</v>
      </c>
      <c r="K9" s="226">
        <v>887</v>
      </c>
      <c r="L9" s="226">
        <v>2497</v>
      </c>
      <c r="M9" s="226">
        <v>2279</v>
      </c>
    </row>
    <row r="11" spans="2:13" x14ac:dyDescent="0.25">
      <c r="B11" s="302" t="s">
        <v>361</v>
      </c>
      <c r="C11" s="302"/>
      <c r="D11" s="302"/>
      <c r="E11" s="302"/>
      <c r="F11" s="302"/>
      <c r="G11" s="302"/>
      <c r="H11" s="302"/>
      <c r="I11" s="302"/>
      <c r="J11" s="302"/>
      <c r="K11" s="302"/>
      <c r="L11" s="302"/>
      <c r="M11" s="302"/>
    </row>
    <row r="12" spans="2:13" x14ac:dyDescent="0.25">
      <c r="B12" s="306">
        <v>2023</v>
      </c>
      <c r="C12" s="226">
        <f>C6*(1-C$3)</f>
        <v>900</v>
      </c>
      <c r="D12" s="226"/>
      <c r="E12" s="226">
        <f t="shared" ref="E12:M15" si="1">E6*(1-E$3)</f>
        <v>1280.25</v>
      </c>
      <c r="F12" s="226">
        <f t="shared" si="1"/>
        <v>1945.5</v>
      </c>
      <c r="G12" s="226">
        <f t="shared" si="1"/>
        <v>-324</v>
      </c>
      <c r="H12" s="226">
        <f t="shared" si="1"/>
        <v>2997</v>
      </c>
      <c r="I12" s="226">
        <f t="shared" si="1"/>
        <v>2192.25</v>
      </c>
      <c r="J12" s="226">
        <f t="shared" si="1"/>
        <v>468.75</v>
      </c>
      <c r="K12" s="226">
        <f t="shared" si="1"/>
        <v>557.25</v>
      </c>
      <c r="L12" s="226">
        <f t="shared" si="1"/>
        <v>1317</v>
      </c>
      <c r="M12" s="226">
        <f t="shared" si="1"/>
        <v>654.75</v>
      </c>
    </row>
    <row r="13" spans="2:13" x14ac:dyDescent="0.25">
      <c r="B13" s="307">
        <f>B12+1</f>
        <v>2024</v>
      </c>
      <c r="C13" s="226">
        <f t="shared" ref="C13:C15" si="2">C7*(1-C$3)</f>
        <v>1215</v>
      </c>
      <c r="D13" s="226"/>
      <c r="E13" s="226">
        <f t="shared" si="1"/>
        <v>1353.75</v>
      </c>
      <c r="F13" s="226">
        <f t="shared" si="1"/>
        <v>2410.5</v>
      </c>
      <c r="G13" s="226">
        <f t="shared" si="1"/>
        <v>548.25</v>
      </c>
      <c r="H13" s="226">
        <f t="shared" si="1"/>
        <v>3728.25</v>
      </c>
      <c r="I13" s="226">
        <f t="shared" si="1"/>
        <v>2648.25</v>
      </c>
      <c r="J13" s="226">
        <f t="shared" si="1"/>
        <v>618</v>
      </c>
      <c r="K13" s="226">
        <f t="shared" si="1"/>
        <v>528</v>
      </c>
      <c r="L13" s="226">
        <f t="shared" si="1"/>
        <v>1508.25</v>
      </c>
      <c r="M13" s="226">
        <f t="shared" si="1"/>
        <v>996.75</v>
      </c>
    </row>
    <row r="14" spans="2:13" x14ac:dyDescent="0.25">
      <c r="B14" s="307">
        <f t="shared" ref="B14:B15" si="3">B13+1</f>
        <v>2025</v>
      </c>
      <c r="C14" s="226">
        <f t="shared" si="2"/>
        <v>1380</v>
      </c>
      <c r="D14" s="226"/>
      <c r="E14" s="226">
        <f t="shared" si="1"/>
        <v>1474.5</v>
      </c>
      <c r="F14" s="226">
        <f t="shared" si="1"/>
        <v>2812.5</v>
      </c>
      <c r="G14" s="226">
        <f t="shared" si="1"/>
        <v>1588.5</v>
      </c>
      <c r="H14" s="226">
        <f t="shared" si="1"/>
        <v>4158.75</v>
      </c>
      <c r="I14" s="226">
        <f t="shared" si="1"/>
        <v>3138.75</v>
      </c>
      <c r="J14" s="226">
        <f t="shared" si="1"/>
        <v>699.75</v>
      </c>
      <c r="K14" s="226">
        <f t="shared" si="1"/>
        <v>590.25</v>
      </c>
      <c r="L14" s="226">
        <f t="shared" si="1"/>
        <v>1682.25</v>
      </c>
      <c r="M14" s="226">
        <f t="shared" si="1"/>
        <v>1363.5</v>
      </c>
    </row>
    <row r="15" spans="2:13" x14ac:dyDescent="0.25">
      <c r="B15" s="307">
        <f t="shared" si="3"/>
        <v>2026</v>
      </c>
      <c r="C15" s="226">
        <f t="shared" si="2"/>
        <v>1605</v>
      </c>
      <c r="D15" s="226"/>
      <c r="E15" s="226">
        <f t="shared" si="1"/>
        <v>1592.25</v>
      </c>
      <c r="F15" s="226">
        <f t="shared" si="1"/>
        <v>3099.75</v>
      </c>
      <c r="G15" s="226">
        <f t="shared" si="1"/>
        <v>2463.75</v>
      </c>
      <c r="H15" s="226">
        <f t="shared" si="1"/>
        <v>4631.25</v>
      </c>
      <c r="I15" s="226">
        <f t="shared" si="1"/>
        <v>3477.75</v>
      </c>
      <c r="J15" s="226">
        <f t="shared" si="1"/>
        <v>766.5</v>
      </c>
      <c r="K15" s="226">
        <f t="shared" si="1"/>
        <v>665.25</v>
      </c>
      <c r="L15" s="226">
        <f t="shared" si="1"/>
        <v>1872.75</v>
      </c>
      <c r="M15" s="226">
        <f t="shared" si="1"/>
        <v>1709.25</v>
      </c>
    </row>
    <row r="17" spans="2:27" x14ac:dyDescent="0.25">
      <c r="B17" t="s">
        <v>22</v>
      </c>
      <c r="C17" s="304">
        <v>9.5000000000000001E-2</v>
      </c>
      <c r="D17" s="304"/>
      <c r="E17" s="304">
        <f>$C$17</f>
        <v>9.5000000000000001E-2</v>
      </c>
      <c r="F17" s="304">
        <f t="shared" ref="F17:M17" si="4">$C$17</f>
        <v>9.5000000000000001E-2</v>
      </c>
      <c r="G17" s="304">
        <f t="shared" si="4"/>
        <v>9.5000000000000001E-2</v>
      </c>
      <c r="H17" s="304">
        <f t="shared" si="4"/>
        <v>9.5000000000000001E-2</v>
      </c>
      <c r="I17" s="304">
        <f t="shared" si="4"/>
        <v>9.5000000000000001E-2</v>
      </c>
      <c r="J17" s="304">
        <f t="shared" si="4"/>
        <v>9.5000000000000001E-2</v>
      </c>
      <c r="K17" s="304">
        <f t="shared" si="4"/>
        <v>9.5000000000000001E-2</v>
      </c>
      <c r="L17" s="304">
        <f t="shared" si="4"/>
        <v>9.5000000000000001E-2</v>
      </c>
      <c r="M17" s="304">
        <f t="shared" si="4"/>
        <v>9.5000000000000001E-2</v>
      </c>
      <c r="Q17" s="269"/>
    </row>
    <row r="19" spans="2:27" x14ac:dyDescent="0.25">
      <c r="B19" t="s">
        <v>362</v>
      </c>
      <c r="C19">
        <f>C12/C17</f>
        <v>9473.6842105263149</v>
      </c>
      <c r="E19">
        <f t="shared" ref="E19:M19" si="5">E12/E17</f>
        <v>13476.315789473683</v>
      </c>
      <c r="F19">
        <f t="shared" si="5"/>
        <v>20478.947368421053</v>
      </c>
      <c r="G19">
        <f t="shared" si="5"/>
        <v>-3410.5263157894738</v>
      </c>
      <c r="H19">
        <f t="shared" si="5"/>
        <v>31547.36842105263</v>
      </c>
      <c r="I19">
        <f t="shared" si="5"/>
        <v>23076.315789473683</v>
      </c>
      <c r="J19">
        <f t="shared" si="5"/>
        <v>4934.2105263157891</v>
      </c>
      <c r="K19">
        <f t="shared" si="5"/>
        <v>5865.7894736842109</v>
      </c>
      <c r="L19">
        <f t="shared" si="5"/>
        <v>13863.157894736842</v>
      </c>
      <c r="M19">
        <f t="shared" si="5"/>
        <v>6892.105263157895</v>
      </c>
    </row>
    <row r="20" spans="2:27" x14ac:dyDescent="0.25">
      <c r="B20" t="s">
        <v>363</v>
      </c>
      <c r="C20" s="269">
        <f>NPV(C17,C13:C15)</f>
        <v>3482.9786073330702</v>
      </c>
      <c r="D20" s="269"/>
      <c r="E20" s="269">
        <f t="shared" ref="E20:M20" si="6">NPV(E17,E13:E15)</f>
        <v>3678.7938858998737</v>
      </c>
      <c r="F20" s="269">
        <f t="shared" si="6"/>
        <v>6907.962234155435</v>
      </c>
      <c r="G20" s="269">
        <f t="shared" si="6"/>
        <v>3702.0360292737851</v>
      </c>
      <c r="H20" s="269">
        <f t="shared" si="6"/>
        <v>10400.64702970707</v>
      </c>
      <c r="I20" s="269">
        <f t="shared" si="6"/>
        <v>7685.0867557059064</v>
      </c>
      <c r="J20" s="269">
        <f t="shared" si="6"/>
        <v>1731.7904130439315</v>
      </c>
      <c r="K20" s="269">
        <f t="shared" si="6"/>
        <v>1481.1569788581075</v>
      </c>
      <c r="L20" s="269">
        <f t="shared" si="6"/>
        <v>4206.7994600635848</v>
      </c>
      <c r="M20" s="269">
        <f t="shared" si="6"/>
        <v>3349.3047718851471</v>
      </c>
    </row>
    <row r="23" spans="2:27" x14ac:dyDescent="0.25">
      <c r="B23" t="s">
        <v>364</v>
      </c>
      <c r="C23" s="229">
        <f>ROIC!H3</f>
        <v>47988.947728669998</v>
      </c>
      <c r="D23" s="229"/>
      <c r="E23" s="229">
        <f>ROIC!H5</f>
        <v>44603.882194800011</v>
      </c>
      <c r="F23" s="229">
        <f>ROIC!H6</f>
        <v>47058.854153280001</v>
      </c>
      <c r="G23" s="229">
        <v>86610</v>
      </c>
      <c r="H23" s="229">
        <f>ROIC!H11</f>
        <v>141538.61600000001</v>
      </c>
      <c r="I23" s="229">
        <f>ROIC!H12</f>
        <v>94214.824238110014</v>
      </c>
      <c r="J23" s="229">
        <f>ROIC!H7</f>
        <v>35729.849509899999</v>
      </c>
      <c r="K23" s="229">
        <f>ROIC!H8</f>
        <v>17602.22806161</v>
      </c>
      <c r="L23" s="229">
        <f>ROIC!H9</f>
        <v>65088.314515399994</v>
      </c>
      <c r="M23" s="229">
        <f>ROIC!H10</f>
        <v>48563.136404659999</v>
      </c>
    </row>
    <row r="24" spans="2:27" x14ac:dyDescent="0.25">
      <c r="B24" t="s">
        <v>365</v>
      </c>
      <c r="C24" s="269">
        <f>-C20</f>
        <v>-3482.9786073330702</v>
      </c>
      <c r="D24" s="269"/>
      <c r="E24" s="269">
        <f t="shared" ref="E24:M24" si="7">-E20</f>
        <v>-3678.7938858998737</v>
      </c>
      <c r="F24" s="269">
        <f t="shared" si="7"/>
        <v>-6907.962234155435</v>
      </c>
      <c r="G24" s="269">
        <f t="shared" si="7"/>
        <v>-3702.0360292737851</v>
      </c>
      <c r="H24" s="269">
        <f t="shared" si="7"/>
        <v>-10400.64702970707</v>
      </c>
      <c r="I24" s="269">
        <f t="shared" si="7"/>
        <v>-7685.0867557059064</v>
      </c>
      <c r="J24" s="269">
        <f t="shared" si="7"/>
        <v>-1731.7904130439315</v>
      </c>
      <c r="K24" s="269">
        <f t="shared" si="7"/>
        <v>-1481.1569788581075</v>
      </c>
      <c r="L24" s="269">
        <f t="shared" si="7"/>
        <v>-4206.7994600635848</v>
      </c>
      <c r="M24" s="269">
        <f t="shared" si="7"/>
        <v>-3349.3047718851471</v>
      </c>
    </row>
    <row r="25" spans="2:27" x14ac:dyDescent="0.25">
      <c r="B25" s="262" t="s">
        <v>366</v>
      </c>
      <c r="C25" s="276">
        <f>SUM(C23:C24)</f>
        <v>44505.96912133693</v>
      </c>
      <c r="D25" s="276"/>
      <c r="E25" s="276">
        <f t="shared" ref="E25:M25" si="8">SUM(E23:E24)</f>
        <v>40925.088308900136</v>
      </c>
      <c r="F25" s="276">
        <f t="shared" si="8"/>
        <v>40150.891919124566</v>
      </c>
      <c r="G25" s="276">
        <f t="shared" si="8"/>
        <v>82907.96397072621</v>
      </c>
      <c r="H25" s="276">
        <f t="shared" si="8"/>
        <v>131137.96897029295</v>
      </c>
      <c r="I25" s="276">
        <f t="shared" si="8"/>
        <v>86529.737482404104</v>
      </c>
      <c r="J25" s="276">
        <f t="shared" si="8"/>
        <v>33998.059096856065</v>
      </c>
      <c r="K25" s="276">
        <f t="shared" si="8"/>
        <v>16121.071082751892</v>
      </c>
      <c r="L25" s="276">
        <f t="shared" si="8"/>
        <v>60881.515055336407</v>
      </c>
      <c r="M25" s="276">
        <f t="shared" si="8"/>
        <v>45213.831632774854</v>
      </c>
    </row>
    <row r="26" spans="2:27" x14ac:dyDescent="0.25">
      <c r="B26" s="262" t="s">
        <v>367</v>
      </c>
      <c r="C26" s="276">
        <f>C25*(1+C17)^2.5</f>
        <v>55841.047984338744</v>
      </c>
      <c r="D26" s="276"/>
      <c r="E26" s="276">
        <f t="shared" ref="E26:M26" si="9">E25*(1+E17)^2.5</f>
        <v>51348.164417904583</v>
      </c>
      <c r="F26" s="276">
        <f t="shared" si="9"/>
        <v>50376.790496512243</v>
      </c>
      <c r="G26" s="276">
        <f t="shared" si="9"/>
        <v>104023.52056981965</v>
      </c>
      <c r="H26" s="276">
        <f t="shared" si="9"/>
        <v>164537.06687915124</v>
      </c>
      <c r="I26" s="276">
        <f t="shared" si="9"/>
        <v>108567.71166253879</v>
      </c>
      <c r="J26" s="276">
        <f t="shared" si="9"/>
        <v>42656.912923883647</v>
      </c>
      <c r="K26" s="276">
        <f t="shared" si="9"/>
        <v>20226.893642886756</v>
      </c>
      <c r="L26" s="276">
        <f t="shared" si="9"/>
        <v>76387.227841184416</v>
      </c>
      <c r="M26" s="276">
        <f t="shared" si="9"/>
        <v>56729.193670140012</v>
      </c>
    </row>
    <row r="28" spans="2:27" x14ac:dyDescent="0.25">
      <c r="B28" t="s">
        <v>368</v>
      </c>
      <c r="C28" s="228">
        <f>+(C26*C17-C15)/(C26+C15)</f>
        <v>6.4406511645864098E-2</v>
      </c>
      <c r="D28" s="228"/>
      <c r="E28" s="228">
        <f t="shared" ref="E28:M28" si="10">+(E26*E17-E15)/(E26+E15)</f>
        <v>6.2066488444217041E-2</v>
      </c>
      <c r="F28" s="228">
        <f t="shared" si="10"/>
        <v>3.1528686813213497E-2</v>
      </c>
      <c r="G28" s="228">
        <f t="shared" si="10"/>
        <v>6.966545780013067E-2</v>
      </c>
      <c r="H28" s="228">
        <f t="shared" si="10"/>
        <v>6.5022644644370811E-2</v>
      </c>
      <c r="I28" s="228">
        <f t="shared" si="10"/>
        <v>6.1012579237975414E-2</v>
      </c>
      <c r="J28" s="228">
        <f t="shared" si="10"/>
        <v>7.5671314309834897E-2</v>
      </c>
      <c r="K28" s="228">
        <f t="shared" si="10"/>
        <v>6.0132886196289474E-2</v>
      </c>
      <c r="L28" s="228">
        <f t="shared" si="10"/>
        <v>6.8796807684235795E-2</v>
      </c>
      <c r="M28" s="228">
        <f t="shared" si="10"/>
        <v>6.2972645531688992E-2</v>
      </c>
    </row>
    <row r="30" spans="2:27" ht="15.75" thickBot="1" x14ac:dyDescent="0.3">
      <c r="B30" t="s">
        <v>364</v>
      </c>
      <c r="C30" s="229">
        <f>C23</f>
        <v>47988.947728669998</v>
      </c>
      <c r="D30" s="229"/>
      <c r="E30" s="229">
        <f t="shared" ref="E30:M30" si="11">E23</f>
        <v>44603.882194800011</v>
      </c>
      <c r="F30" s="229">
        <f t="shared" si="11"/>
        <v>47058.854153280001</v>
      </c>
      <c r="G30" s="229">
        <f t="shared" si="11"/>
        <v>86610</v>
      </c>
      <c r="H30" s="229">
        <f t="shared" si="11"/>
        <v>141538.61600000001</v>
      </c>
      <c r="I30" s="229">
        <f t="shared" si="11"/>
        <v>94214.824238110014</v>
      </c>
      <c r="J30" s="229">
        <f t="shared" si="11"/>
        <v>35729.849509899999</v>
      </c>
      <c r="K30" s="229">
        <f t="shared" si="11"/>
        <v>17602.22806161</v>
      </c>
      <c r="L30" s="229">
        <f t="shared" si="11"/>
        <v>65088.314515399994</v>
      </c>
      <c r="M30" s="229">
        <f t="shared" si="11"/>
        <v>48563.136404659999</v>
      </c>
    </row>
    <row r="31" spans="2:27" ht="15.75" thickBot="1" x14ac:dyDescent="0.3">
      <c r="B31" t="s">
        <v>369</v>
      </c>
      <c r="C31">
        <f>-C19</f>
        <v>-9473.6842105263149</v>
      </c>
      <c r="E31">
        <f t="shared" ref="E31:M31" si="12">-E19</f>
        <v>-13476.315789473683</v>
      </c>
      <c r="F31">
        <f t="shared" si="12"/>
        <v>-20478.947368421053</v>
      </c>
      <c r="G31">
        <f t="shared" si="12"/>
        <v>3410.5263157894738</v>
      </c>
      <c r="H31">
        <f t="shared" si="12"/>
        <v>-31547.36842105263</v>
      </c>
      <c r="I31">
        <f t="shared" si="12"/>
        <v>-23076.315789473683</v>
      </c>
      <c r="J31">
        <f t="shared" si="12"/>
        <v>-4934.2105263157891</v>
      </c>
      <c r="K31">
        <f t="shared" si="12"/>
        <v>-5865.7894736842109</v>
      </c>
      <c r="L31">
        <f t="shared" si="12"/>
        <v>-13863.157894736842</v>
      </c>
      <c r="M31">
        <f t="shared" si="12"/>
        <v>-6892.105263157895</v>
      </c>
      <c r="O31" s="320" t="s">
        <v>411</v>
      </c>
      <c r="P31" s="321"/>
      <c r="Q31" s="322">
        <f>C28</f>
        <v>6.4406511645864098E-2</v>
      </c>
      <c r="R31" s="322"/>
      <c r="S31" s="322">
        <f t="shared" ref="S31" si="13">E28</f>
        <v>6.2066488444217041E-2</v>
      </c>
      <c r="T31" s="322">
        <f t="shared" ref="T31" si="14">F28</f>
        <v>3.1528686813213497E-2</v>
      </c>
      <c r="U31" s="322">
        <f t="shared" ref="U31" si="15">G28</f>
        <v>6.966545780013067E-2</v>
      </c>
      <c r="V31" s="322">
        <f t="shared" ref="V31" si="16">H28</f>
        <v>6.5022644644370811E-2</v>
      </c>
      <c r="W31" s="322">
        <f t="shared" ref="W31" si="17">I28</f>
        <v>6.1012579237975414E-2</v>
      </c>
      <c r="X31" s="322">
        <f t="shared" ref="X31" si="18">J28</f>
        <v>7.5671314309834897E-2</v>
      </c>
      <c r="Y31" s="322">
        <f t="shared" ref="Y31" si="19">K28</f>
        <v>6.0132886196289474E-2</v>
      </c>
      <c r="Z31" s="322">
        <f t="shared" ref="Z31" si="20">L28</f>
        <v>6.8796807684235795E-2</v>
      </c>
      <c r="AA31" s="323">
        <f t="shared" ref="AA31" si="21">M28</f>
        <v>6.2972645531688992E-2</v>
      </c>
    </row>
    <row r="32" spans="2:27" x14ac:dyDescent="0.25">
      <c r="B32" s="262" t="s">
        <v>370</v>
      </c>
      <c r="C32" s="276">
        <f>SUM(C30:C31)</f>
        <v>38515.263518143685</v>
      </c>
      <c r="D32" s="276"/>
      <c r="E32" s="276">
        <f t="shared" ref="E32:M32" si="22">SUM(E30:E31)</f>
        <v>31127.566405326328</v>
      </c>
      <c r="F32" s="276">
        <f t="shared" si="22"/>
        <v>26579.906784858948</v>
      </c>
      <c r="G32" s="276">
        <f t="shared" si="22"/>
        <v>90020.526315789481</v>
      </c>
      <c r="H32" s="276">
        <f t="shared" si="22"/>
        <v>109991.24757894738</v>
      </c>
      <c r="I32" s="276">
        <f t="shared" si="22"/>
        <v>71138.508448636334</v>
      </c>
      <c r="J32" s="276">
        <f t="shared" si="22"/>
        <v>30795.638983584209</v>
      </c>
      <c r="K32" s="276">
        <f t="shared" si="22"/>
        <v>11736.43858792579</v>
      </c>
      <c r="L32" s="276">
        <f t="shared" si="22"/>
        <v>51225.156620663154</v>
      </c>
      <c r="M32" s="276">
        <f t="shared" si="22"/>
        <v>41671.031141502106</v>
      </c>
    </row>
    <row r="33" spans="2:16" x14ac:dyDescent="0.25">
      <c r="B33" t="s">
        <v>367</v>
      </c>
      <c r="C33" s="229">
        <f>C32</f>
        <v>38515.263518143685</v>
      </c>
      <c r="D33" s="229"/>
      <c r="E33" s="229">
        <f t="shared" ref="E33:M33" si="23">E32</f>
        <v>31127.566405326328</v>
      </c>
      <c r="F33" s="229">
        <f t="shared" si="23"/>
        <v>26579.906784858948</v>
      </c>
      <c r="G33" s="229">
        <f t="shared" si="23"/>
        <v>90020.526315789481</v>
      </c>
      <c r="H33" s="229">
        <f t="shared" si="23"/>
        <v>109991.24757894738</v>
      </c>
      <c r="I33" s="229">
        <f t="shared" si="23"/>
        <v>71138.508448636334</v>
      </c>
      <c r="J33" s="229">
        <f t="shared" si="23"/>
        <v>30795.638983584209</v>
      </c>
      <c r="K33" s="229">
        <f t="shared" si="23"/>
        <v>11736.43858792579</v>
      </c>
      <c r="L33" s="229">
        <f t="shared" si="23"/>
        <v>51225.156620663154</v>
      </c>
      <c r="M33" s="229">
        <f t="shared" si="23"/>
        <v>41671.031141502106</v>
      </c>
    </row>
    <row r="35" spans="2:16" x14ac:dyDescent="0.25">
      <c r="B35" s="262" t="str">
        <f>B33</f>
        <v>Implied FV of TV</v>
      </c>
      <c r="C35" s="276">
        <f>C33-C20</f>
        <v>35032.284910810617</v>
      </c>
      <c r="D35" s="276"/>
      <c r="E35" s="276">
        <f t="shared" ref="E35:M35" si="24">E33-E20</f>
        <v>27448.772519426453</v>
      </c>
      <c r="F35" s="276">
        <f t="shared" si="24"/>
        <v>19671.944550703513</v>
      </c>
      <c r="G35" s="276">
        <f t="shared" si="24"/>
        <v>86318.490286515691</v>
      </c>
      <c r="H35" s="276">
        <f t="shared" si="24"/>
        <v>99590.600549240306</v>
      </c>
      <c r="I35" s="276">
        <f t="shared" si="24"/>
        <v>63453.421692930424</v>
      </c>
      <c r="J35" s="276">
        <f t="shared" si="24"/>
        <v>29063.848570540278</v>
      </c>
      <c r="K35" s="276">
        <f t="shared" si="24"/>
        <v>10255.281609067682</v>
      </c>
      <c r="L35" s="276">
        <f t="shared" si="24"/>
        <v>47018.357160599568</v>
      </c>
      <c r="M35" s="276">
        <f t="shared" si="24"/>
        <v>38321.726369616961</v>
      </c>
    </row>
    <row r="36" spans="2:16" x14ac:dyDescent="0.25">
      <c r="B36" t="s">
        <v>371</v>
      </c>
      <c r="C36" s="228">
        <f>C35/C30</f>
        <v>0.73000735729575728</v>
      </c>
      <c r="D36" s="228"/>
      <c r="E36" s="270">
        <f t="shared" ref="E36:M36" si="25">E35/E30</f>
        <v>0.61538976359834596</v>
      </c>
      <c r="F36" s="270">
        <f t="shared" si="25"/>
        <v>0.41802854966736114</v>
      </c>
      <c r="G36" s="270">
        <f t="shared" si="25"/>
        <v>0.99663422568428228</v>
      </c>
      <c r="H36" s="270">
        <f t="shared" si="25"/>
        <v>0.70362847513812277</v>
      </c>
      <c r="I36" s="270">
        <f t="shared" si="25"/>
        <v>0.67349721454199174</v>
      </c>
      <c r="J36" s="270">
        <f t="shared" si="25"/>
        <v>0.81343327691563017</v>
      </c>
      <c r="K36" s="270">
        <f t="shared" si="25"/>
        <v>0.58261269954990436</v>
      </c>
      <c r="L36" s="270">
        <f t="shared" si="25"/>
        <v>0.72237785708024371</v>
      </c>
      <c r="M36" s="270">
        <f t="shared" si="25"/>
        <v>0.7891114373317063</v>
      </c>
      <c r="O36" s="224"/>
      <c r="P36" s="224"/>
    </row>
    <row r="37" spans="2:16" x14ac:dyDescent="0.25">
      <c r="B37" t="s">
        <v>372</v>
      </c>
      <c r="C37" s="228">
        <f>C19/C30</f>
        <v>0.19741387671366795</v>
      </c>
      <c r="D37" s="228"/>
      <c r="E37" s="270">
        <f t="shared" ref="E37:M37" si="26">E19/E30</f>
        <v>0.30213324774328215</v>
      </c>
      <c r="F37" s="270">
        <f t="shared" si="26"/>
        <v>0.43517734838415462</v>
      </c>
      <c r="G37" s="270">
        <f t="shared" si="26"/>
        <v>-3.9377973857400689E-2</v>
      </c>
      <c r="H37" s="270">
        <f t="shared" si="26"/>
        <v>0.2228887727788198</v>
      </c>
      <c r="I37" s="270">
        <f t="shared" si="26"/>
        <v>0.24493296013749061</v>
      </c>
      <c r="J37" s="270">
        <f t="shared" si="26"/>
        <v>0.13809771364832146</v>
      </c>
      <c r="K37" s="270">
        <f t="shared" si="26"/>
        <v>0.33324130633651683</v>
      </c>
      <c r="L37" s="270">
        <f t="shared" si="26"/>
        <v>0.21298996598624162</v>
      </c>
      <c r="M37" s="270">
        <f t="shared" si="26"/>
        <v>0.14192051365316152</v>
      </c>
      <c r="O37" s="224"/>
      <c r="P37" s="224"/>
    </row>
    <row r="38" spans="2:16" x14ac:dyDescent="0.25">
      <c r="B38" t="s">
        <v>373</v>
      </c>
      <c r="C38" s="228">
        <f>C20/C30</f>
        <v>7.2578765990574889E-2</v>
      </c>
      <c r="D38" s="228"/>
      <c r="E38" s="270">
        <f t="shared" ref="E38:M38" si="27">E20/E30</f>
        <v>8.247698865837183E-2</v>
      </c>
      <c r="F38" s="270">
        <f t="shared" si="27"/>
        <v>0.14679410194848422</v>
      </c>
      <c r="G38" s="270">
        <f t="shared" si="27"/>
        <v>4.2743748173118407E-2</v>
      </c>
      <c r="H38" s="270">
        <f t="shared" si="27"/>
        <v>7.3482752083057462E-2</v>
      </c>
      <c r="I38" s="270">
        <f t="shared" si="27"/>
        <v>8.1569825320517653E-2</v>
      </c>
      <c r="J38" s="270">
        <f t="shared" si="27"/>
        <v>4.8469009436048378E-2</v>
      </c>
      <c r="K38" s="270">
        <f t="shared" si="27"/>
        <v>8.4145994113578856E-2</v>
      </c>
      <c r="L38" s="270">
        <f t="shared" si="27"/>
        <v>6.4632176933514682E-2</v>
      </c>
      <c r="M38" s="270">
        <f t="shared" si="27"/>
        <v>6.8968049015132316E-2</v>
      </c>
      <c r="O38" s="224"/>
      <c r="P38" s="224"/>
    </row>
  </sheetData>
  <pageMargins left="0.7" right="0.7" top="0.75" bottom="0.75" header="0.3" footer="0.3"/>
  <drawing r:id="rId1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E09BD1-B97D-4BA4-8835-E8031F6FC9DF}">
  <sheetPr>
    <tabColor theme="5" tint="0.79998168889431442"/>
  </sheetPr>
  <dimension ref="A1"/>
  <sheetViews>
    <sheetView workbookViewId="0">
      <selection sqref="A1:D1"/>
    </sheetView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C1B27-CBCE-4504-BFC7-AC3FDE1ABBA2}">
  <sheetPr>
    <tabColor theme="5" tint="0.79998168889431442"/>
  </sheetPr>
  <dimension ref="B3:E18"/>
  <sheetViews>
    <sheetView showGridLines="0" workbookViewId="0">
      <selection activeCell="E13" sqref="E13"/>
    </sheetView>
  </sheetViews>
  <sheetFormatPr defaultRowHeight="15" x14ac:dyDescent="0.25"/>
  <cols>
    <col min="2" max="2" width="18.28515625" bestFit="1" customWidth="1"/>
    <col min="3" max="3" width="10.5703125" bestFit="1" customWidth="1"/>
    <col min="5" max="5" width="10.5703125" bestFit="1" customWidth="1"/>
  </cols>
  <sheetData>
    <row r="3" spans="2:5" x14ac:dyDescent="0.25">
      <c r="B3" t="s">
        <v>374</v>
      </c>
      <c r="C3">
        <v>56.230448000000003</v>
      </c>
    </row>
    <row r="5" spans="2:5" x14ac:dyDescent="0.25">
      <c r="B5" t="s">
        <v>330</v>
      </c>
      <c r="C5" s="271">
        <v>1276.1500000000001</v>
      </c>
    </row>
    <row r="7" spans="2:5" x14ac:dyDescent="0.25">
      <c r="B7" s="303" t="s">
        <v>11</v>
      </c>
      <c r="C7" s="303" t="s">
        <v>12</v>
      </c>
      <c r="D7" s="303" t="s">
        <v>375</v>
      </c>
      <c r="E7" s="303" t="s">
        <v>13</v>
      </c>
    </row>
    <row r="8" spans="2:5" x14ac:dyDescent="0.25">
      <c r="B8" s="337">
        <v>0.120116</v>
      </c>
      <c r="C8">
        <v>712.29</v>
      </c>
      <c r="D8">
        <f>IF(C8&lt;C5,C8,0)</f>
        <v>712.29</v>
      </c>
      <c r="E8">
        <f>D8*B8</f>
        <v>85.557425639999991</v>
      </c>
    </row>
    <row r="9" spans="2:5" x14ac:dyDescent="0.25">
      <c r="B9" s="337">
        <v>2.8928400000000001</v>
      </c>
      <c r="C9">
        <v>390.75</v>
      </c>
      <c r="D9">
        <f>IF(C9&lt;C6,C9,0)</f>
        <v>0</v>
      </c>
      <c r="E9">
        <f>D9*B9</f>
        <v>0</v>
      </c>
    </row>
    <row r="10" spans="2:5" x14ac:dyDescent="0.25">
      <c r="B10" s="225">
        <v>7.4215000000000003E-2</v>
      </c>
      <c r="C10">
        <v>226.34</v>
      </c>
      <c r="D10">
        <f>IF(C10&lt;C7,C10,0)</f>
        <v>226.34</v>
      </c>
      <c r="E10">
        <f>D10*B10</f>
        <v>16.797823100000002</v>
      </c>
    </row>
    <row r="11" spans="2:5" x14ac:dyDescent="0.25">
      <c r="B11" s="329">
        <f>SUM(B8:B10)</f>
        <v>3.0871710000000001</v>
      </c>
      <c r="C11" s="272"/>
      <c r="D11" s="272"/>
      <c r="E11" s="329">
        <f>B11-(SUM(E8:E10)/C5)</f>
        <v>3.006964716459664</v>
      </c>
    </row>
    <row r="13" spans="2:5" x14ac:dyDescent="0.25">
      <c r="B13" s="272" t="s">
        <v>376</v>
      </c>
      <c r="C13" s="272"/>
      <c r="D13" s="272"/>
      <c r="E13" s="275">
        <f>E11+C3</f>
        <v>59.237412716459666</v>
      </c>
    </row>
    <row r="15" spans="2:5" x14ac:dyDescent="0.25">
      <c r="B15" t="s">
        <v>377</v>
      </c>
      <c r="E15" s="226">
        <f>E13*C5</f>
        <v>75595.824238110014</v>
      </c>
    </row>
    <row r="16" spans="2:5" x14ac:dyDescent="0.25">
      <c r="B16" t="s">
        <v>16</v>
      </c>
      <c r="E16" s="226">
        <f>24296+98+486</f>
        <v>24880</v>
      </c>
    </row>
    <row r="17" spans="2:5" x14ac:dyDescent="0.25">
      <c r="B17" t="s">
        <v>378</v>
      </c>
      <c r="E17" s="226">
        <f>-6261</f>
        <v>-6261</v>
      </c>
    </row>
    <row r="18" spans="2:5" x14ac:dyDescent="0.25">
      <c r="B18" t="s">
        <v>379</v>
      </c>
      <c r="E18" s="226">
        <f>SUM(E15:E17)</f>
        <v>94214.824238110014</v>
      </c>
    </row>
  </sheetData>
  <pageMargins left="0.7" right="0.7" top="0.75" bottom="0.75" header="0.3" footer="0.3"/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2A1D9-D1BC-47CD-B733-A29DE872A9FB}">
  <sheetPr>
    <tabColor theme="5" tint="0.79998168889431442"/>
  </sheetPr>
  <dimension ref="B3:E17"/>
  <sheetViews>
    <sheetView showGridLines="0" workbookViewId="0">
      <selection activeCell="D16" sqref="D16"/>
    </sheetView>
  </sheetViews>
  <sheetFormatPr defaultRowHeight="15" x14ac:dyDescent="0.25"/>
  <cols>
    <col min="2" max="2" width="18.28515625" bestFit="1" customWidth="1"/>
    <col min="5" max="5" width="10.5703125" bestFit="1" customWidth="1"/>
  </cols>
  <sheetData>
    <row r="3" spans="2:5" x14ac:dyDescent="0.25">
      <c r="B3" t="s">
        <v>374</v>
      </c>
      <c r="C3">
        <v>375.33599199999998</v>
      </c>
    </row>
    <row r="5" spans="2:5" x14ac:dyDescent="0.25">
      <c r="B5" t="s">
        <v>330</v>
      </c>
      <c r="C5" s="271">
        <v>120.04</v>
      </c>
    </row>
    <row r="7" spans="2:5" x14ac:dyDescent="0.25">
      <c r="B7" s="303" t="s">
        <v>11</v>
      </c>
      <c r="C7" s="303" t="s">
        <v>12</v>
      </c>
      <c r="D7" s="303" t="s">
        <v>375</v>
      </c>
      <c r="E7" s="303" t="s">
        <v>13</v>
      </c>
    </row>
    <row r="8" spans="2:5" x14ac:dyDescent="0.25">
      <c r="B8" s="225">
        <v>2.1839999999999998E-2</v>
      </c>
      <c r="D8">
        <f>IF(C8&lt;C5,C8,0)</f>
        <v>0</v>
      </c>
      <c r="E8">
        <f>D8*B8</f>
        <v>0</v>
      </c>
    </row>
    <row r="10" spans="2:5" x14ac:dyDescent="0.25">
      <c r="B10" s="329">
        <f>SUM(B8:B9)</f>
        <v>2.1839999999999998E-2</v>
      </c>
      <c r="C10" s="272"/>
      <c r="D10" s="272"/>
      <c r="E10" s="329">
        <f>B10-(E8/C5)</f>
        <v>2.1839999999999998E-2</v>
      </c>
    </row>
    <row r="12" spans="2:5" x14ac:dyDescent="0.25">
      <c r="B12" s="272" t="s">
        <v>376</v>
      </c>
      <c r="C12" s="272"/>
      <c r="D12" s="272"/>
      <c r="E12" s="275">
        <f>E10+C3</f>
        <v>375.35783199999997</v>
      </c>
    </row>
    <row r="14" spans="2:5" x14ac:dyDescent="0.25">
      <c r="B14" t="s">
        <v>377</v>
      </c>
      <c r="E14" s="226">
        <f>E12*C5</f>
        <v>45057.954153279999</v>
      </c>
    </row>
    <row r="15" spans="2:5" x14ac:dyDescent="0.25">
      <c r="B15" t="s">
        <v>16</v>
      </c>
      <c r="E15" s="226">
        <v>2909.6</v>
      </c>
    </row>
    <row r="16" spans="2:5" x14ac:dyDescent="0.25">
      <c r="B16" t="s">
        <v>378</v>
      </c>
      <c r="E16" s="226">
        <v>-908.7</v>
      </c>
    </row>
    <row r="17" spans="2:5" x14ac:dyDescent="0.25">
      <c r="B17" t="s">
        <v>379</v>
      </c>
      <c r="E17" s="226">
        <f>SUM(E14:E16)</f>
        <v>47058.854153280001</v>
      </c>
    </row>
  </sheetData>
  <pageMargins left="0.7" right="0.7" top="0.75" bottom="0.75" header="0.3" footer="0.3"/>
  <legacy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98426-5DD8-42A6-81BC-76FAA9898F65}">
  <sheetPr>
    <tabColor theme="5" tint="0.79998168889431442"/>
  </sheetPr>
  <dimension ref="B3:E17"/>
  <sheetViews>
    <sheetView showGridLines="0" workbookViewId="0">
      <selection activeCell="E12" sqref="E12"/>
    </sheetView>
  </sheetViews>
  <sheetFormatPr defaultRowHeight="15" x14ac:dyDescent="0.25"/>
  <cols>
    <col min="2" max="2" width="18.28515625" bestFit="1" customWidth="1"/>
    <col min="5" max="5" width="10.5703125" bestFit="1" customWidth="1"/>
  </cols>
  <sheetData>
    <row r="3" spans="2:5" x14ac:dyDescent="0.25">
      <c r="B3" t="s">
        <v>374</v>
      </c>
      <c r="C3">
        <v>395.2</v>
      </c>
    </row>
    <row r="5" spans="2:5" x14ac:dyDescent="0.25">
      <c r="B5" t="s">
        <v>330</v>
      </c>
      <c r="C5" s="271">
        <v>338.12</v>
      </c>
    </row>
    <row r="7" spans="2:5" x14ac:dyDescent="0.25">
      <c r="B7" s="303" t="s">
        <v>11</v>
      </c>
      <c r="C7" s="303" t="s">
        <v>12</v>
      </c>
      <c r="D7" s="303" t="s">
        <v>375</v>
      </c>
      <c r="E7" s="303" t="s">
        <v>13</v>
      </c>
    </row>
    <row r="8" spans="2:5" x14ac:dyDescent="0.25">
      <c r="B8">
        <v>2.2000000000000002</v>
      </c>
      <c r="C8">
        <v>103.76</v>
      </c>
      <c r="D8">
        <f>IF(C8&lt;C5,C8,0)</f>
        <v>103.76</v>
      </c>
      <c r="E8">
        <f>D8*B8</f>
        <v>228.27200000000002</v>
      </c>
    </row>
    <row r="10" spans="2:5" x14ac:dyDescent="0.25">
      <c r="B10">
        <f>SUM(B8:B9)</f>
        <v>2.2000000000000002</v>
      </c>
      <c r="E10" s="225">
        <f>B10-(E8/C5)</f>
        <v>1.5248787412752871</v>
      </c>
    </row>
    <row r="12" spans="2:5" x14ac:dyDescent="0.25">
      <c r="B12" s="272" t="s">
        <v>376</v>
      </c>
      <c r="C12" s="272"/>
      <c r="D12" s="272"/>
      <c r="E12" s="275">
        <f>E10+C3</f>
        <v>396.72487874127529</v>
      </c>
    </row>
    <row r="14" spans="2:5" x14ac:dyDescent="0.25">
      <c r="B14" t="s">
        <v>377</v>
      </c>
      <c r="E14" s="226">
        <f>E12*C5</f>
        <v>134140.61600000001</v>
      </c>
    </row>
    <row r="15" spans="2:5" x14ac:dyDescent="0.25">
      <c r="B15" t="s">
        <v>16</v>
      </c>
      <c r="E15" s="226">
        <f>8678+714</f>
        <v>9392</v>
      </c>
    </row>
    <row r="16" spans="2:5" x14ac:dyDescent="0.25">
      <c r="B16" t="s">
        <v>378</v>
      </c>
      <c r="E16" s="226">
        <f>-473-1521</f>
        <v>-1994</v>
      </c>
    </row>
    <row r="17" spans="2:5" x14ac:dyDescent="0.25">
      <c r="B17" t="s">
        <v>379</v>
      </c>
      <c r="E17" s="226">
        <f>SUM(E14:E16)</f>
        <v>141538.61600000001</v>
      </c>
    </row>
  </sheetData>
  <pageMargins left="0.7" right="0.7" top="0.75" bottom="0.75" header="0.3" footer="0.3"/>
  <legacy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DE704-2132-4B5C-BDB6-D532B0196925}">
  <sheetPr>
    <tabColor theme="5" tint="0.79998168889431442"/>
  </sheetPr>
  <dimension ref="B3:E18"/>
  <sheetViews>
    <sheetView showGridLines="0" workbookViewId="0">
      <selection activeCell="E13" sqref="E13"/>
    </sheetView>
  </sheetViews>
  <sheetFormatPr defaultRowHeight="15" x14ac:dyDescent="0.25"/>
  <cols>
    <col min="2" max="2" width="18.28515625" bestFit="1" customWidth="1"/>
    <col min="5" max="5" width="10.5703125" bestFit="1" customWidth="1"/>
  </cols>
  <sheetData>
    <row r="3" spans="2:5" x14ac:dyDescent="0.25">
      <c r="B3" t="s">
        <v>374</v>
      </c>
      <c r="C3">
        <f>231.30768</f>
        <v>231.30768</v>
      </c>
    </row>
    <row r="5" spans="2:5" x14ac:dyDescent="0.25">
      <c r="B5" t="s">
        <v>330</v>
      </c>
      <c r="C5" s="271">
        <v>183.36</v>
      </c>
    </row>
    <row r="7" spans="2:5" x14ac:dyDescent="0.25">
      <c r="B7" s="303" t="s">
        <v>11</v>
      </c>
      <c r="C7" s="303" t="s">
        <v>12</v>
      </c>
      <c r="D7" s="303" t="s">
        <v>375</v>
      </c>
      <c r="E7" s="303" t="s">
        <v>13</v>
      </c>
    </row>
    <row r="8" spans="2:5" x14ac:dyDescent="0.25">
      <c r="B8">
        <v>1.8089999999999999</v>
      </c>
      <c r="C8">
        <v>96.89</v>
      </c>
      <c r="D8">
        <f>IF(C8&lt;C5,C8,0)</f>
        <v>96.89</v>
      </c>
      <c r="E8">
        <f>D8*B8</f>
        <v>175.27401</v>
      </c>
    </row>
    <row r="9" spans="2:5" x14ac:dyDescent="0.25">
      <c r="B9">
        <v>0.28100000000000003</v>
      </c>
    </row>
    <row r="10" spans="2:5" x14ac:dyDescent="0.25">
      <c r="B10">
        <v>0.23499999999999999</v>
      </c>
    </row>
    <row r="11" spans="2:5" x14ac:dyDescent="0.25">
      <c r="B11" s="272">
        <f>SUM(B8:B10)</f>
        <v>2.3249999999999997</v>
      </c>
      <c r="C11" s="272"/>
      <c r="D11" s="272"/>
      <c r="E11" s="329">
        <f>B11-(SUM(E8:E9)/C5)</f>
        <v>1.3690989856020939</v>
      </c>
    </row>
    <row r="13" spans="2:5" x14ac:dyDescent="0.25">
      <c r="B13" s="272" t="s">
        <v>376</v>
      </c>
      <c r="C13" s="272"/>
      <c r="D13" s="272"/>
      <c r="E13" s="275">
        <f>E11+C3</f>
        <v>232.67677898560211</v>
      </c>
    </row>
    <row r="15" spans="2:5" x14ac:dyDescent="0.25">
      <c r="B15" t="s">
        <v>377</v>
      </c>
      <c r="E15" s="226">
        <f>E13*C5</f>
        <v>42663.614194800008</v>
      </c>
    </row>
    <row r="16" spans="2:5" x14ac:dyDescent="0.25">
      <c r="B16" t="s">
        <v>16</v>
      </c>
      <c r="E16" s="226">
        <f>1765.473+571.061</f>
        <v>2336.5340000000001</v>
      </c>
    </row>
    <row r="17" spans="2:5" x14ac:dyDescent="0.25">
      <c r="B17" t="s">
        <v>378</v>
      </c>
      <c r="E17" s="226">
        <v>-396.26600000000002</v>
      </c>
    </row>
    <row r="18" spans="2:5" x14ac:dyDescent="0.25">
      <c r="B18" t="s">
        <v>379</v>
      </c>
      <c r="E18" s="226">
        <f>SUM(E15:E17)</f>
        <v>44603.882194800004</v>
      </c>
    </row>
  </sheetData>
  <pageMargins left="0.7" right="0.7" top="0.75" bottom="0.75" header="0.3" footer="0.3"/>
  <legacy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D1BF8-0F1F-49B2-8BAE-1BB86C71D2C3}">
  <sheetPr>
    <tabColor theme="5" tint="0.79998168889431442"/>
  </sheetPr>
  <dimension ref="B3:E17"/>
  <sheetViews>
    <sheetView showGridLines="0" workbookViewId="0">
      <selection activeCell="E12" sqref="E12"/>
    </sheetView>
  </sheetViews>
  <sheetFormatPr defaultRowHeight="15" x14ac:dyDescent="0.25"/>
  <cols>
    <col min="2" max="2" width="18.28515625" bestFit="1" customWidth="1"/>
    <col min="5" max="5" width="10.5703125" bestFit="1" customWidth="1"/>
  </cols>
  <sheetData>
    <row r="3" spans="2:5" x14ac:dyDescent="0.25">
      <c r="B3" t="s">
        <v>374</v>
      </c>
      <c r="C3">
        <v>406.260649</v>
      </c>
    </row>
    <row r="5" spans="2:5" x14ac:dyDescent="0.25">
      <c r="B5" t="s">
        <v>330</v>
      </c>
      <c r="C5" s="271">
        <v>110.83</v>
      </c>
    </row>
    <row r="7" spans="2:5" x14ac:dyDescent="0.25">
      <c r="B7" s="303" t="s">
        <v>11</v>
      </c>
      <c r="C7" s="303" t="s">
        <v>12</v>
      </c>
      <c r="D7" s="303" t="s">
        <v>375</v>
      </c>
      <c r="E7" s="303" t="s">
        <v>13</v>
      </c>
    </row>
    <row r="8" spans="2:5" x14ac:dyDescent="0.25">
      <c r="B8">
        <v>0.5</v>
      </c>
      <c r="C8">
        <v>22.67</v>
      </c>
      <c r="D8">
        <f>IF(C8&lt;C5,C8,0)</f>
        <v>22.67</v>
      </c>
      <c r="E8">
        <f>D8*B8</f>
        <v>11.335000000000001</v>
      </c>
    </row>
    <row r="10" spans="2:5" x14ac:dyDescent="0.25">
      <c r="B10">
        <f>SUM(B8:B9)</f>
        <v>0.5</v>
      </c>
      <c r="E10" s="225">
        <f>B10-(E8/C5)</f>
        <v>0.39772624740593698</v>
      </c>
    </row>
    <row r="12" spans="2:5" x14ac:dyDescent="0.25">
      <c r="B12" s="272" t="s">
        <v>376</v>
      </c>
      <c r="C12" s="272"/>
      <c r="D12" s="272"/>
      <c r="E12" s="275">
        <f>E10+C3</f>
        <v>406.65837524740596</v>
      </c>
    </row>
    <row r="14" spans="2:5" x14ac:dyDescent="0.25">
      <c r="B14" t="s">
        <v>377</v>
      </c>
      <c r="E14" s="226">
        <f>E12*C5</f>
        <v>45069.947728669998</v>
      </c>
    </row>
    <row r="15" spans="2:5" x14ac:dyDescent="0.25">
      <c r="B15" t="s">
        <v>16</v>
      </c>
      <c r="E15" s="226">
        <f>3393+1</f>
        <v>3394</v>
      </c>
    </row>
    <row r="16" spans="2:5" x14ac:dyDescent="0.25">
      <c r="B16" t="s">
        <v>378</v>
      </c>
      <c r="E16" s="226">
        <v>-475</v>
      </c>
    </row>
    <row r="17" spans="2:5" x14ac:dyDescent="0.25">
      <c r="B17" t="s">
        <v>379</v>
      </c>
      <c r="E17" s="226">
        <f>SUM(E14:E16)</f>
        <v>47988.947728669998</v>
      </c>
    </row>
  </sheetData>
  <pageMargins left="0.7" right="0.7" top="0.75" bottom="0.75" header="0.3" footer="0.3"/>
  <legacy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5D928-9FBF-4A6F-9141-58FA94386F73}">
  <sheetPr>
    <tabColor theme="5" tint="0.79998168889431442"/>
  </sheetPr>
  <dimension ref="B3:E18"/>
  <sheetViews>
    <sheetView showGridLines="0" workbookViewId="0">
      <selection activeCell="E13" sqref="E13"/>
    </sheetView>
  </sheetViews>
  <sheetFormatPr defaultRowHeight="15" x14ac:dyDescent="0.25"/>
  <cols>
    <col min="2" max="2" width="18.28515625" bestFit="1" customWidth="1"/>
    <col min="5" max="5" width="10.5703125" bestFit="1" customWidth="1"/>
  </cols>
  <sheetData>
    <row r="3" spans="2:5" x14ac:dyDescent="0.25">
      <c r="B3" t="s">
        <v>374</v>
      </c>
      <c r="C3">
        <v>75.723308000000003</v>
      </c>
    </row>
    <row r="5" spans="2:5" x14ac:dyDescent="0.25">
      <c r="B5" t="s">
        <v>330</v>
      </c>
      <c r="C5" s="271">
        <v>212.38</v>
      </c>
    </row>
    <row r="7" spans="2:5" x14ac:dyDescent="0.25">
      <c r="B7" s="303" t="s">
        <v>11</v>
      </c>
      <c r="C7" s="303" t="s">
        <v>12</v>
      </c>
      <c r="D7" s="303" t="s">
        <v>375</v>
      </c>
      <c r="E7" s="303" t="s">
        <v>13</v>
      </c>
    </row>
    <row r="8" spans="2:5" x14ac:dyDescent="0.25">
      <c r="B8">
        <v>0.60321899999999995</v>
      </c>
      <c r="C8">
        <v>168.07</v>
      </c>
      <c r="D8">
        <f>IF(C8&lt;C5,C8,0)</f>
        <v>168.07</v>
      </c>
      <c r="E8">
        <f>D8*B8</f>
        <v>101.38301732999999</v>
      </c>
    </row>
    <row r="9" spans="2:5" x14ac:dyDescent="0.25">
      <c r="B9">
        <v>0.18008099999999999</v>
      </c>
    </row>
    <row r="10" spans="2:5" x14ac:dyDescent="0.25">
      <c r="B10">
        <v>5.9505000000000002E-2</v>
      </c>
    </row>
    <row r="11" spans="2:5" x14ac:dyDescent="0.25">
      <c r="B11" s="272">
        <f>SUM(B8:B10)</f>
        <v>0.84280499999999992</v>
      </c>
      <c r="C11" s="272"/>
      <c r="D11" s="272"/>
      <c r="E11" s="329">
        <f>B11-(SUM(E8:E10)/C5)</f>
        <v>0.36543887640079098</v>
      </c>
    </row>
    <row r="13" spans="2:5" x14ac:dyDescent="0.25">
      <c r="B13" s="272" t="s">
        <v>376</v>
      </c>
      <c r="C13" s="272"/>
      <c r="D13" s="272"/>
      <c r="E13" s="275">
        <f>E11+C3</f>
        <v>76.088746876400791</v>
      </c>
    </row>
    <row r="15" spans="2:5" x14ac:dyDescent="0.25">
      <c r="B15" t="s">
        <v>377</v>
      </c>
      <c r="E15" s="226">
        <f>E13*C5</f>
        <v>16159.72806161</v>
      </c>
    </row>
    <row r="16" spans="2:5" x14ac:dyDescent="0.25">
      <c r="B16" t="s">
        <v>16</v>
      </c>
      <c r="E16" s="226">
        <f>2075.1</f>
        <v>2075.1</v>
      </c>
    </row>
    <row r="17" spans="2:5" x14ac:dyDescent="0.25">
      <c r="B17" t="s">
        <v>378</v>
      </c>
      <c r="E17" s="226">
        <f>-633.2+0.6</f>
        <v>-632.6</v>
      </c>
    </row>
    <row r="18" spans="2:5" x14ac:dyDescent="0.25">
      <c r="B18" t="s">
        <v>379</v>
      </c>
      <c r="E18" s="226">
        <f>SUM(E15:E17)</f>
        <v>17602.22806161</v>
      </c>
    </row>
  </sheetData>
  <pageMargins left="0.7" right="0.7" top="0.75" bottom="0.75" header="0.3" footer="0.3"/>
  <legacy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9BD23-471A-4484-98F4-A6C70F706D4D}">
  <sheetPr>
    <tabColor theme="5" tint="0.79998168889431442"/>
  </sheetPr>
  <dimension ref="B3:E17"/>
  <sheetViews>
    <sheetView showGridLines="0" workbookViewId="0">
      <selection activeCell="E12" sqref="E12"/>
    </sheetView>
  </sheetViews>
  <sheetFormatPr defaultRowHeight="15" x14ac:dyDescent="0.25"/>
  <cols>
    <col min="2" max="2" width="18.28515625" bestFit="1" customWidth="1"/>
    <col min="5" max="5" width="10.5703125" bestFit="1" customWidth="1"/>
  </cols>
  <sheetData>
    <row r="3" spans="2:5" x14ac:dyDescent="0.25">
      <c r="B3" t="s">
        <v>374</v>
      </c>
      <c r="C3">
        <v>107.229151</v>
      </c>
    </row>
    <row r="5" spans="2:5" x14ac:dyDescent="0.25">
      <c r="B5" t="s">
        <v>330</v>
      </c>
      <c r="C5" s="271">
        <v>525.4</v>
      </c>
    </row>
    <row r="7" spans="2:5" x14ac:dyDescent="0.25">
      <c r="B7" s="303" t="s">
        <v>11</v>
      </c>
      <c r="C7" s="303" t="s">
        <v>12</v>
      </c>
      <c r="D7" s="303" t="s">
        <v>375</v>
      </c>
      <c r="E7" s="303" t="s">
        <v>13</v>
      </c>
    </row>
    <row r="8" spans="2:5" x14ac:dyDescent="0.25">
      <c r="B8">
        <v>1.7629999999999999</v>
      </c>
      <c r="C8">
        <v>291.74</v>
      </c>
      <c r="D8">
        <f>IF(C8&lt;C5,C8,0)</f>
        <v>291.74</v>
      </c>
      <c r="E8">
        <f>D8*B8</f>
        <v>514.33762000000002</v>
      </c>
    </row>
    <row r="9" spans="2:5" x14ac:dyDescent="0.25">
      <c r="B9">
        <v>0.44</v>
      </c>
    </row>
    <row r="10" spans="2:5" x14ac:dyDescent="0.25">
      <c r="B10">
        <f>SUM(B8:B9)</f>
        <v>2.2029999999999998</v>
      </c>
      <c r="E10" s="225">
        <f>B10-(SUM(E8:E9)/C5)</f>
        <v>1.2240551579748762</v>
      </c>
    </row>
    <row r="12" spans="2:5" x14ac:dyDescent="0.25">
      <c r="B12" s="272" t="s">
        <v>376</v>
      </c>
      <c r="C12" s="272"/>
      <c r="D12" s="272"/>
      <c r="E12" s="275">
        <f>E10+C3</f>
        <v>108.45320615797488</v>
      </c>
    </row>
    <row r="14" spans="2:5" x14ac:dyDescent="0.25">
      <c r="B14" t="s">
        <v>377</v>
      </c>
      <c r="E14" s="226">
        <f>E12*C5</f>
        <v>56981.314515399994</v>
      </c>
    </row>
    <row r="15" spans="2:5" x14ac:dyDescent="0.25">
      <c r="B15" t="s">
        <v>16</v>
      </c>
      <c r="E15" s="226">
        <f>7677.6+699</f>
        <v>8376.6</v>
      </c>
    </row>
    <row r="16" spans="2:5" x14ac:dyDescent="0.25">
      <c r="B16" t="s">
        <v>378</v>
      </c>
      <c r="E16" s="226">
        <v>-269.60000000000002</v>
      </c>
    </row>
    <row r="17" spans="2:5" x14ac:dyDescent="0.25">
      <c r="B17" t="s">
        <v>379</v>
      </c>
      <c r="E17" s="226">
        <f>SUM(E14:E16)</f>
        <v>65088.314515399994</v>
      </c>
    </row>
  </sheetData>
  <pageMargins left="0.7" right="0.7" top="0.75" bottom="0.75" header="0.3" footer="0.3"/>
  <legacy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7AA51-EE1A-44BF-B11C-7D36459F69BC}">
  <sheetPr>
    <tabColor theme="5" tint="0.79998168889431442"/>
  </sheetPr>
  <dimension ref="B3:E17"/>
  <sheetViews>
    <sheetView showGridLines="0" workbookViewId="0">
      <selection activeCell="E12" sqref="E12"/>
    </sheetView>
  </sheetViews>
  <sheetFormatPr defaultRowHeight="15" x14ac:dyDescent="0.25"/>
  <cols>
    <col min="2" max="2" width="18.28515625" bestFit="1" customWidth="1"/>
    <col min="5" max="5" width="10.5703125" bestFit="1" customWidth="1"/>
  </cols>
  <sheetData>
    <row r="3" spans="2:5" x14ac:dyDescent="0.25">
      <c r="B3" t="s">
        <v>374</v>
      </c>
      <c r="C3">
        <f>54.986227+83.843858</f>
        <v>138.830085</v>
      </c>
    </row>
    <row r="5" spans="2:5" x14ac:dyDescent="0.25">
      <c r="B5" t="s">
        <v>330</v>
      </c>
      <c r="C5" s="271">
        <v>238.94</v>
      </c>
    </row>
    <row r="7" spans="2:5" x14ac:dyDescent="0.25">
      <c r="B7" s="303" t="s">
        <v>11</v>
      </c>
      <c r="C7" s="303" t="s">
        <v>12</v>
      </c>
      <c r="D7" s="303" t="s">
        <v>375</v>
      </c>
      <c r="E7" s="303" t="s">
        <v>13</v>
      </c>
    </row>
    <row r="8" spans="2:5" x14ac:dyDescent="0.25">
      <c r="B8">
        <v>3.4350000000000001</v>
      </c>
      <c r="C8">
        <v>96.14</v>
      </c>
      <c r="D8">
        <f>IF(C8&lt;C5,C8,0)</f>
        <v>96.14</v>
      </c>
      <c r="E8">
        <f>D8*B8</f>
        <v>330.24090000000001</v>
      </c>
    </row>
    <row r="10" spans="2:5" x14ac:dyDescent="0.25">
      <c r="B10">
        <f>SUM(B8:B9)</f>
        <v>3.4350000000000001</v>
      </c>
      <c r="E10" s="225">
        <f>B10-(E8/C5)</f>
        <v>2.0528919393990126</v>
      </c>
    </row>
    <row r="12" spans="2:5" x14ac:dyDescent="0.25">
      <c r="B12" s="272" t="s">
        <v>376</v>
      </c>
      <c r="C12" s="272"/>
      <c r="D12" s="272"/>
      <c r="E12" s="275">
        <f>E10+C3</f>
        <v>140.88297693939901</v>
      </c>
    </row>
    <row r="14" spans="2:5" x14ac:dyDescent="0.25">
      <c r="B14" t="s">
        <v>377</v>
      </c>
      <c r="E14" s="226">
        <f>E12*C5</f>
        <v>33662.578509899999</v>
      </c>
    </row>
    <row r="15" spans="2:5" x14ac:dyDescent="0.25">
      <c r="B15" t="s">
        <v>16</v>
      </c>
      <c r="E15" s="226">
        <f>2225.267+4.107</f>
        <v>2229.3739999999998</v>
      </c>
    </row>
    <row r="16" spans="2:5" x14ac:dyDescent="0.25">
      <c r="B16" t="s">
        <v>378</v>
      </c>
      <c r="E16" s="226">
        <v>-162.10300000000001</v>
      </c>
    </row>
    <row r="17" spans="2:5" x14ac:dyDescent="0.25">
      <c r="B17" t="s">
        <v>379</v>
      </c>
      <c r="E17" s="226">
        <f>SUM(E14:E16)</f>
        <v>35729.849509899999</v>
      </c>
    </row>
  </sheetData>
  <pageMargins left="0.7" right="0.7" top="0.75" bottom="0.75" header="0.3" footer="0.3"/>
  <legacy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340FE-12A4-4CBD-8403-F36B2B8579B2}">
  <sheetPr>
    <tabColor theme="5" tint="0.79998168889431442"/>
  </sheetPr>
  <dimension ref="B3:E17"/>
  <sheetViews>
    <sheetView showGridLines="0" workbookViewId="0">
      <selection activeCell="E12" sqref="E12"/>
    </sheetView>
  </sheetViews>
  <sheetFormatPr defaultRowHeight="15" x14ac:dyDescent="0.25"/>
  <cols>
    <col min="2" max="2" width="18.28515625" bestFit="1" customWidth="1"/>
    <col min="5" max="5" width="10.5703125" bestFit="1" customWidth="1"/>
  </cols>
  <sheetData>
    <row r="3" spans="2:5" x14ac:dyDescent="0.25">
      <c r="B3" t="s">
        <v>374</v>
      </c>
      <c r="C3">
        <v>375.33599199999998</v>
      </c>
    </row>
    <row r="5" spans="2:5" x14ac:dyDescent="0.25">
      <c r="B5" t="s">
        <v>330</v>
      </c>
      <c r="C5" s="271">
        <v>120.04</v>
      </c>
    </row>
    <row r="7" spans="2:5" x14ac:dyDescent="0.25">
      <c r="B7" s="303" t="s">
        <v>11</v>
      </c>
      <c r="C7" s="303" t="s">
        <v>12</v>
      </c>
      <c r="D7" s="303" t="s">
        <v>375</v>
      </c>
      <c r="E7" s="303" t="s">
        <v>13</v>
      </c>
    </row>
    <row r="8" spans="2:5" x14ac:dyDescent="0.25">
      <c r="B8">
        <v>11.155357</v>
      </c>
      <c r="C8">
        <v>14.3</v>
      </c>
      <c r="D8">
        <f>IF(C8&lt;C5,C8,0)</f>
        <v>14.3</v>
      </c>
      <c r="E8">
        <f>D8*B8</f>
        <v>159.52160510000002</v>
      </c>
    </row>
    <row r="9" spans="2:5" x14ac:dyDescent="0.25">
      <c r="B9">
        <v>2.7268949999999998</v>
      </c>
    </row>
    <row r="10" spans="2:5" x14ac:dyDescent="0.25">
      <c r="B10" s="272">
        <f>SUM(B8:B9)</f>
        <v>13.882252000000001</v>
      </c>
      <c r="C10" s="272"/>
      <c r="D10" s="272"/>
      <c r="E10" s="329">
        <f>B10-(SUM(E8:E9)/C5)</f>
        <v>12.553348258747086</v>
      </c>
    </row>
    <row r="12" spans="2:5" x14ac:dyDescent="0.25">
      <c r="B12" s="272" t="s">
        <v>376</v>
      </c>
      <c r="C12" s="272"/>
      <c r="D12" s="272"/>
      <c r="E12" s="275">
        <f>E10+C3</f>
        <v>387.88934025874704</v>
      </c>
    </row>
    <row r="14" spans="2:5" x14ac:dyDescent="0.25">
      <c r="B14" t="s">
        <v>377</v>
      </c>
      <c r="E14" s="226">
        <f>E12*C5</f>
        <v>46562.236404659998</v>
      </c>
    </row>
    <row r="15" spans="2:5" x14ac:dyDescent="0.25">
      <c r="B15" t="s">
        <v>16</v>
      </c>
      <c r="E15" s="226">
        <v>2909.6</v>
      </c>
    </row>
    <row r="16" spans="2:5" x14ac:dyDescent="0.25">
      <c r="B16" t="s">
        <v>378</v>
      </c>
      <c r="E16" s="226">
        <v>-908.7</v>
      </c>
    </row>
    <row r="17" spans="2:5" x14ac:dyDescent="0.25">
      <c r="B17" t="s">
        <v>379</v>
      </c>
      <c r="E17" s="226">
        <f>SUM(E14:E16)</f>
        <v>48563.136404659999</v>
      </c>
    </row>
  </sheetData>
  <pageMargins left="0.7" right="0.7" top="0.75" bottom="0.75" header="0.3" footer="0.3"/>
  <legacy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5D107-6DAC-4830-A1D9-DAFAD70552F2}">
  <dimension ref="N5:Q13"/>
  <sheetViews>
    <sheetView showGridLines="0" workbookViewId="0">
      <selection activeCell="I35" sqref="I35"/>
    </sheetView>
  </sheetViews>
  <sheetFormatPr defaultRowHeight="15" x14ac:dyDescent="0.25"/>
  <cols>
    <col min="14" max="14" width="22.140625" bestFit="1" customWidth="1"/>
    <col min="15" max="15" width="10.5703125" bestFit="1" customWidth="1"/>
  </cols>
  <sheetData>
    <row r="5" spans="14:17" x14ac:dyDescent="0.25">
      <c r="O5" t="s">
        <v>386</v>
      </c>
    </row>
    <row r="6" spans="14:17" x14ac:dyDescent="0.25">
      <c r="N6" t="s">
        <v>393</v>
      </c>
      <c r="O6" s="282">
        <v>785</v>
      </c>
    </row>
    <row r="7" spans="14:17" x14ac:dyDescent="0.25">
      <c r="N7" t="s">
        <v>385</v>
      </c>
      <c r="O7" s="282">
        <v>1294</v>
      </c>
      <c r="P7" s="283">
        <f>AVERAGE(O6:O7)</f>
        <v>1039.5</v>
      </c>
    </row>
    <row r="8" spans="14:17" x14ac:dyDescent="0.25">
      <c r="N8" t="s">
        <v>387</v>
      </c>
      <c r="O8" s="282">
        <v>1718</v>
      </c>
      <c r="P8" s="228">
        <f>O8/$P$7-1</f>
        <v>0.65271765271765281</v>
      </c>
    </row>
    <row r="9" spans="14:17" x14ac:dyDescent="0.25">
      <c r="N9" t="s">
        <v>390</v>
      </c>
      <c r="O9" s="282">
        <v>1327</v>
      </c>
      <c r="P9" s="228">
        <f t="shared" ref="P9:P13" si="0">O9/$P$7-1</f>
        <v>0.27657527657527647</v>
      </c>
    </row>
    <row r="10" spans="14:17" x14ac:dyDescent="0.25">
      <c r="N10" t="s">
        <v>388</v>
      </c>
      <c r="O10" s="282">
        <v>1748</v>
      </c>
      <c r="P10" s="228">
        <f t="shared" si="0"/>
        <v>0.6815776815776815</v>
      </c>
    </row>
    <row r="11" spans="14:17" x14ac:dyDescent="0.25">
      <c r="N11" t="s">
        <v>389</v>
      </c>
      <c r="O11" s="282">
        <f>(6695+7547)/2</f>
        <v>7121</v>
      </c>
      <c r="P11" s="228">
        <f t="shared" si="0"/>
        <v>5.8504088504088507</v>
      </c>
    </row>
    <row r="12" spans="14:17" x14ac:dyDescent="0.25">
      <c r="N12" t="s">
        <v>391</v>
      </c>
      <c r="O12" s="282">
        <v>1316</v>
      </c>
      <c r="P12" s="228">
        <f t="shared" si="0"/>
        <v>0.265993265993266</v>
      </c>
    </row>
    <row r="13" spans="14:17" x14ac:dyDescent="0.25">
      <c r="N13" t="s">
        <v>392</v>
      </c>
      <c r="O13" s="282">
        <f>(6639+7224)/2</f>
        <v>6931.5</v>
      </c>
      <c r="P13" s="228">
        <f t="shared" si="0"/>
        <v>5.6681096681096683</v>
      </c>
      <c r="Q13" s="224">
        <f>MEDIAN(P8:P13)</f>
        <v>0.66714766714766716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Model</vt:lpstr>
      <vt:lpstr>Charts</vt:lpstr>
      <vt:lpstr>Historical EIA Data</vt:lpstr>
      <vt:lpstr>vs. Consensus</vt:lpstr>
      <vt:lpstr>Sheet1</vt:lpstr>
      <vt:lpstr>Data Center Demand Build</vt:lpstr>
      <vt:lpstr>DCF</vt:lpstr>
      <vt:lpstr>WACC</vt:lpstr>
      <vt:lpstr>Beta Determination</vt:lpstr>
      <vt:lpstr>IRR Analysis</vt:lpstr>
      <vt:lpstr>Financial Overview</vt:lpstr>
      <vt:lpstr>ROIC</vt:lpstr>
      <vt:lpstr>Sheet2</vt:lpstr>
      <vt:lpstr>Capitalized Earnings</vt:lpstr>
      <vt:lpstr>TSM&gt;&gt;</vt:lpstr>
      <vt:lpstr>TDG - TSM</vt:lpstr>
      <vt:lpstr>APH - TSM</vt:lpstr>
      <vt:lpstr>ETN - TSM</vt:lpstr>
      <vt:lpstr>AME - TSM</vt:lpstr>
      <vt:lpstr>HWM- TSM</vt:lpstr>
      <vt:lpstr>IEX- TSM</vt:lpstr>
      <vt:lpstr>ROP- TSM</vt:lpstr>
      <vt:lpstr>HEI- TSM</vt:lpstr>
      <vt:lpstr>VRT- TSM</vt:lpstr>
      <vt:lpstr>Energy Costs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schmitt</dc:creator>
  <cp:lastModifiedBy>eric schmitt</cp:lastModifiedBy>
  <dcterms:created xsi:type="dcterms:W3CDTF">2024-12-20T21:46:30Z</dcterms:created>
  <dcterms:modified xsi:type="dcterms:W3CDTF">2025-01-05T14:05:16Z</dcterms:modified>
</cp:coreProperties>
</file>