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drawings/drawing4.xml" ContentType="application/vnd.openxmlformats-officedocument.drawing+xml"/>
  <Override PartName="/xl/comments6.xml" ContentType="application/vnd.openxmlformats-officedocument.spreadsheetml.comments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omments7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26a9230c60c51ab/Desktop/CMG/"/>
    </mc:Choice>
  </mc:AlternateContent>
  <xr:revisionPtr revIDLastSave="4162" documentId="8_{B05442E5-2E0E-40A9-BFB1-6313B3AECA00}" xr6:coauthVersionLast="47" xr6:coauthVersionMax="47" xr10:uidLastSave="{765A8B19-672E-489E-88A5-2772953C8E29}"/>
  <bookViews>
    <workbookView xWindow="-110" yWindow="-110" windowWidth="23260" windowHeight="14860" xr2:uid="{BAFC90B8-2580-4F74-8AEB-188DFF40CEA5}"/>
  </bookViews>
  <sheets>
    <sheet name="Model" sheetId="1" r:id="rId1"/>
    <sheet name="Returns Analysis" sheetId="21" r:id="rId2"/>
    <sheet name="vs. CONS" sheetId="20" r:id="rId3"/>
    <sheet name="Cost Forecast" sheetId="14" r:id="rId4"/>
    <sheet name="Restaurant Forecast" sheetId="11" r:id="rId5"/>
    <sheet name="DCF" sheetId="15" r:id="rId6"/>
    <sheet name="WACC" sheetId="19" r:id="rId7"/>
    <sheet name="Beta Determination" sheetId="18" r:id="rId8"/>
    <sheet name="ROIC" sheetId="17" r:id="rId9"/>
    <sheet name="TSM" sheetId="16" r:id="rId10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8" i="19" l="1"/>
  <c r="AS71" i="1"/>
  <c r="AT71" i="1" s="1"/>
  <c r="AU71" i="1" s="1"/>
  <c r="AV71" i="1" s="1"/>
  <c r="AT73" i="1"/>
  <c r="AU73" i="1"/>
  <c r="AV73" i="1"/>
  <c r="AS73" i="1"/>
  <c r="AS70" i="1"/>
  <c r="AT70" i="1" s="1"/>
  <c r="AU70" i="1" s="1"/>
  <c r="AV70" i="1" s="1"/>
  <c r="R140" i="1"/>
  <c r="Q140" i="1"/>
  <c r="P140" i="1"/>
  <c r="O140" i="1"/>
  <c r="N140" i="1"/>
  <c r="M140" i="1"/>
  <c r="L140" i="1"/>
  <c r="K140" i="1"/>
  <c r="J140" i="1"/>
  <c r="I140" i="1"/>
  <c r="H140" i="1"/>
  <c r="G140" i="1"/>
  <c r="F140" i="1"/>
  <c r="E140" i="1"/>
  <c r="D140" i="1"/>
  <c r="C140" i="1"/>
  <c r="AT174" i="1"/>
  <c r="AU174" i="1"/>
  <c r="AV174" i="1"/>
  <c r="AS174" i="1"/>
  <c r="Q59" i="14" l="1"/>
  <c r="E38" i="21"/>
  <c r="D32" i="21"/>
  <c r="C32" i="21"/>
  <c r="C38" i="21" s="1"/>
  <c r="D29" i="21"/>
  <c r="C33" i="21" s="1"/>
  <c r="C39" i="21" s="1"/>
  <c r="D22" i="21"/>
  <c r="E22" i="21" s="1"/>
  <c r="D15" i="21"/>
  <c r="E15" i="21" s="1"/>
  <c r="D8" i="21"/>
  <c r="D7" i="21"/>
  <c r="D6" i="21"/>
  <c r="O6" i="20"/>
  <c r="J9" i="20"/>
  <c r="K9" i="20"/>
  <c r="L9" i="20"/>
  <c r="L6" i="20"/>
  <c r="K6" i="20"/>
  <c r="Q3" i="20"/>
  <c r="R3" i="20" s="1"/>
  <c r="K3" i="20"/>
  <c r="L3" i="20" s="1"/>
  <c r="E3" i="20"/>
  <c r="F3" i="20" s="1"/>
  <c r="Q60" i="14"/>
  <c r="E7" i="21" l="1"/>
  <c r="E8" i="21"/>
  <c r="E29" i="21"/>
  <c r="E6" i="21"/>
  <c r="J13" i="18" l="1"/>
  <c r="L16" i="16" l="1"/>
  <c r="P37" i="14"/>
  <c r="S14" i="17"/>
  <c r="S13" i="17"/>
  <c r="L3" i="17"/>
  <c r="M3" i="17" s="1"/>
  <c r="G17" i="19"/>
  <c r="M16" i="18"/>
  <c r="M17" i="18" s="1"/>
  <c r="M18" i="18" s="1"/>
  <c r="H14" i="18"/>
  <c r="H21" i="18" s="1"/>
  <c r="H18" i="18"/>
  <c r="H17" i="18"/>
  <c r="H16" i="18"/>
  <c r="H15" i="18"/>
  <c r="H13" i="18"/>
  <c r="H10" i="18"/>
  <c r="H20" i="18" s="1"/>
  <c r="F21" i="18"/>
  <c r="F20" i="18"/>
  <c r="H29" i="19"/>
  <c r="H14" i="19" s="1"/>
  <c r="H20" i="19" s="1"/>
  <c r="G28" i="19"/>
  <c r="G29" i="19" s="1"/>
  <c r="G14" i="19" s="1"/>
  <c r="G20" i="19" s="1"/>
  <c r="H18" i="19"/>
  <c r="H12" i="19"/>
  <c r="M14" i="18"/>
  <c r="M15" i="18" s="1"/>
  <c r="G19" i="19" l="1"/>
  <c r="G21" i="19" s="1"/>
  <c r="H17" i="19"/>
  <c r="H19" i="19" s="1"/>
  <c r="H21" i="19" s="1"/>
  <c r="T7" i="11" l="1"/>
  <c r="T8" i="11"/>
  <c r="T9" i="11"/>
  <c r="T10" i="11"/>
  <c r="T11" i="11"/>
  <c r="T12" i="11"/>
  <c r="T13" i="11"/>
  <c r="T14" i="11"/>
  <c r="T6" i="11"/>
  <c r="S7" i="11"/>
  <c r="S8" i="11"/>
  <c r="S9" i="11"/>
  <c r="S10" i="11"/>
  <c r="S6" i="11"/>
  <c r="H83" i="15"/>
  <c r="G83" i="15"/>
  <c r="F83" i="15"/>
  <c r="E83" i="15"/>
  <c r="D83" i="15"/>
  <c r="H82" i="15"/>
  <c r="G82" i="15"/>
  <c r="F82" i="15"/>
  <c r="E82" i="15"/>
  <c r="D82" i="15"/>
  <c r="H81" i="15"/>
  <c r="G81" i="15"/>
  <c r="F81" i="15"/>
  <c r="E81" i="15"/>
  <c r="D81" i="15"/>
  <c r="H80" i="15"/>
  <c r="G80" i="15"/>
  <c r="F80" i="15"/>
  <c r="E80" i="15"/>
  <c r="D80" i="15"/>
  <c r="H79" i="15"/>
  <c r="G79" i="15"/>
  <c r="F79" i="15"/>
  <c r="E79" i="15"/>
  <c r="D79" i="15"/>
  <c r="D49" i="15"/>
  <c r="D52" i="15"/>
  <c r="D46" i="15"/>
  <c r="I4" i="17"/>
  <c r="G6" i="17"/>
  <c r="O6" i="17" s="1"/>
  <c r="I7" i="17"/>
  <c r="G7" i="17"/>
  <c r="O7" i="17" s="1"/>
  <c r="G8" i="17"/>
  <c r="P8" i="17" s="1"/>
  <c r="G9" i="17"/>
  <c r="P9" i="17" s="1"/>
  <c r="G10" i="17"/>
  <c r="P10" i="17" s="1"/>
  <c r="G11" i="17"/>
  <c r="O11" i="17" s="1"/>
  <c r="F6" i="17"/>
  <c r="G4" i="17"/>
  <c r="E4" i="17"/>
  <c r="V22" i="17" s="1"/>
  <c r="D4" i="17"/>
  <c r="Q11" i="17"/>
  <c r="Q10" i="17"/>
  <c r="F10" i="17"/>
  <c r="G17" i="18" s="1"/>
  <c r="Q9" i="17"/>
  <c r="Q8" i="17"/>
  <c r="F8" i="17"/>
  <c r="G15" i="18" s="1"/>
  <c r="Q7" i="17"/>
  <c r="F7" i="17"/>
  <c r="G14" i="18" s="1"/>
  <c r="Q6" i="17"/>
  <c r="L1" i="17"/>
  <c r="M1" i="17" s="1"/>
  <c r="AR70" i="1"/>
  <c r="AR71" i="1"/>
  <c r="AQ70" i="1"/>
  <c r="G12" i="16"/>
  <c r="G14" i="16"/>
  <c r="F14" i="16"/>
  <c r="F13" i="16"/>
  <c r="D15" i="16"/>
  <c r="G13" i="16"/>
  <c r="L12" i="16"/>
  <c r="L14" i="16" s="1"/>
  <c r="F12" i="16"/>
  <c r="I12" i="16"/>
  <c r="S11" i="17" l="1"/>
  <c r="P4" i="17"/>
  <c r="V16" i="17" s="1"/>
  <c r="J14" i="18"/>
  <c r="I14" i="18"/>
  <c r="K14" i="18" s="1"/>
  <c r="O4" i="17"/>
  <c r="S4" i="17" s="1"/>
  <c r="V15" i="17" s="1"/>
  <c r="V17" i="17" s="1"/>
  <c r="H6" i="17"/>
  <c r="G13" i="18"/>
  <c r="V20" i="17"/>
  <c r="J17" i="18"/>
  <c r="I17" i="18"/>
  <c r="K17" i="18" s="1"/>
  <c r="J15" i="18"/>
  <c r="I15" i="18"/>
  <c r="K15" i="18" s="1"/>
  <c r="S7" i="17"/>
  <c r="H10" i="17"/>
  <c r="R10" i="17" s="1"/>
  <c r="H7" i="17"/>
  <c r="F11" i="17"/>
  <c r="P7" i="17"/>
  <c r="O10" i="17"/>
  <c r="S10" i="17" s="1"/>
  <c r="S6" i="17"/>
  <c r="F9" i="17"/>
  <c r="P6" i="17"/>
  <c r="H8" i="17"/>
  <c r="O8" i="17"/>
  <c r="S8" i="17" s="1"/>
  <c r="P11" i="17"/>
  <c r="O9" i="17"/>
  <c r="S9" i="17" s="1"/>
  <c r="F4" i="17"/>
  <c r="G15" i="16"/>
  <c r="G18" i="16" s="1"/>
  <c r="D16" i="16"/>
  <c r="G19" i="16" s="1"/>
  <c r="G20" i="16" s="1"/>
  <c r="L15" i="16" s="1"/>
  <c r="L22" i="16" s="1"/>
  <c r="V21" i="17" l="1"/>
  <c r="V23" i="17" s="1"/>
  <c r="V24" i="17" s="1"/>
  <c r="V18" i="17"/>
  <c r="R6" i="17"/>
  <c r="H9" i="17"/>
  <c r="R9" i="17" s="1"/>
  <c r="G16" i="18"/>
  <c r="H4" i="17"/>
  <c r="R4" i="17" s="1"/>
  <c r="G10" i="18"/>
  <c r="H11" i="17"/>
  <c r="R11" i="17" s="1"/>
  <c r="G18" i="18"/>
  <c r="I13" i="18"/>
  <c r="K13" i="18" s="1"/>
  <c r="R7" i="17"/>
  <c r="R8" i="17"/>
  <c r="C82" i="15"/>
  <c r="C83" i="15" s="1"/>
  <c r="C80" i="15"/>
  <c r="C79" i="15" s="1"/>
  <c r="G78" i="15"/>
  <c r="H78" i="15" s="1"/>
  <c r="E78" i="15"/>
  <c r="D78" i="15"/>
  <c r="C72" i="15"/>
  <c r="C73" i="15" s="1"/>
  <c r="C70" i="15"/>
  <c r="C69" i="15" s="1"/>
  <c r="G68" i="15"/>
  <c r="H68" i="15" s="1"/>
  <c r="E68" i="15"/>
  <c r="D68" i="15" s="1"/>
  <c r="D36" i="15"/>
  <c r="D35" i="15"/>
  <c r="D29" i="15"/>
  <c r="E29" i="15" s="1"/>
  <c r="F29" i="15" s="1"/>
  <c r="G29" i="15" s="1"/>
  <c r="H29" i="15" s="1"/>
  <c r="D14" i="15"/>
  <c r="E14" i="15" s="1"/>
  <c r="F14" i="15" s="1"/>
  <c r="G14" i="15" s="1"/>
  <c r="H14" i="15" s="1"/>
  <c r="J18" i="18" l="1"/>
  <c r="I18" i="18"/>
  <c r="K18" i="18" s="1"/>
  <c r="G20" i="18"/>
  <c r="I10" i="18"/>
  <c r="G21" i="18"/>
  <c r="J10" i="18"/>
  <c r="I16" i="18"/>
  <c r="K16" i="18" s="1"/>
  <c r="J16" i="18"/>
  <c r="I29" i="15"/>
  <c r="H30" i="15"/>
  <c r="G30" i="15"/>
  <c r="F30" i="15"/>
  <c r="I30" i="15"/>
  <c r="D30" i="15"/>
  <c r="E30" i="15"/>
  <c r="K10" i="18" l="1"/>
  <c r="I20" i="18"/>
  <c r="I21" i="18"/>
  <c r="K25" i="18" s="1"/>
  <c r="J20" i="18"/>
  <c r="J21" i="18"/>
  <c r="D38" i="15"/>
  <c r="K20" i="18" l="1"/>
  <c r="K21" i="18"/>
  <c r="K24" i="18" s="1"/>
  <c r="K26" i="18" l="1"/>
  <c r="G9" i="19" s="1"/>
  <c r="G10" i="19"/>
  <c r="H10" i="19" s="1"/>
  <c r="G11" i="19" l="1"/>
  <c r="G13" i="19" s="1"/>
  <c r="G15" i="19" s="1"/>
  <c r="G23" i="19" s="1"/>
  <c r="H9" i="19"/>
  <c r="H11" i="19" s="1"/>
  <c r="H13" i="19" s="1"/>
  <c r="H15" i="19" s="1"/>
  <c r="H23" i="19" s="1"/>
  <c r="G25" i="19" l="1"/>
  <c r="AR181" i="1" l="1"/>
  <c r="AR177" i="1"/>
  <c r="AS177" i="1"/>
  <c r="AT177" i="1"/>
  <c r="AU177" i="1"/>
  <c r="AV177" i="1"/>
  <c r="AP177" i="1"/>
  <c r="AO177" i="1"/>
  <c r="AN177" i="1"/>
  <c r="AQ177" i="1"/>
  <c r="AO238" i="1"/>
  <c r="AP238" i="1"/>
  <c r="AQ238" i="1"/>
  <c r="AN238" i="1"/>
  <c r="AS134" i="1"/>
  <c r="AT134" i="1" s="1"/>
  <c r="AU134" i="1" s="1"/>
  <c r="AV134" i="1" s="1"/>
  <c r="AO235" i="1"/>
  <c r="AP235" i="1"/>
  <c r="AQ235" i="1"/>
  <c r="AN235" i="1"/>
  <c r="AO232" i="1"/>
  <c r="AP232" i="1"/>
  <c r="AQ232" i="1"/>
  <c r="AN232" i="1"/>
  <c r="AO220" i="1"/>
  <c r="AP220" i="1"/>
  <c r="AQ220" i="1"/>
  <c r="AN220" i="1"/>
  <c r="AO217" i="1"/>
  <c r="AP217" i="1"/>
  <c r="AQ217" i="1"/>
  <c r="C24" i="15" s="1"/>
  <c r="AN217" i="1"/>
  <c r="AN187" i="1"/>
  <c r="AR187" i="1"/>
  <c r="AS187" i="1"/>
  <c r="AT187" i="1"/>
  <c r="AU187" i="1"/>
  <c r="AV187" i="1"/>
  <c r="AP187" i="1"/>
  <c r="AO187" i="1"/>
  <c r="AQ187" i="1"/>
  <c r="AQ172" i="1"/>
  <c r="AP172" i="1"/>
  <c r="AO172" i="1"/>
  <c r="AN172" i="1"/>
  <c r="AP166" i="1"/>
  <c r="AO166" i="1"/>
  <c r="AN166" i="1"/>
  <c r="AQ166" i="1"/>
  <c r="R59" i="1"/>
  <c r="Q59" i="1"/>
  <c r="P59" i="1"/>
  <c r="O59" i="1"/>
  <c r="N59" i="1"/>
  <c r="M59" i="1"/>
  <c r="L59" i="1"/>
  <c r="K59" i="1"/>
  <c r="J59" i="1"/>
  <c r="I59" i="1"/>
  <c r="H59" i="1"/>
  <c r="G59" i="1"/>
  <c r="F59" i="1"/>
  <c r="E59" i="1"/>
  <c r="D59" i="1"/>
  <c r="C59" i="1"/>
  <c r="AQ136" i="1"/>
  <c r="AP136" i="1"/>
  <c r="AO136" i="1"/>
  <c r="AN136" i="1"/>
  <c r="AQ135" i="1"/>
  <c r="AR135" i="1" s="1"/>
  <c r="AS135" i="1" s="1"/>
  <c r="AT135" i="1" s="1"/>
  <c r="AU135" i="1" s="1"/>
  <c r="AV135" i="1" s="1"/>
  <c r="AP135" i="1"/>
  <c r="AO135" i="1"/>
  <c r="AN135" i="1"/>
  <c r="AQ134" i="1"/>
  <c r="AP134" i="1"/>
  <c r="AO134" i="1"/>
  <c r="AN134" i="1"/>
  <c r="AQ133" i="1"/>
  <c r="AP133" i="1"/>
  <c r="AO133" i="1"/>
  <c r="AN133" i="1"/>
  <c r="AQ132" i="1"/>
  <c r="AR132" i="1" s="1"/>
  <c r="AP132" i="1"/>
  <c r="AO132" i="1"/>
  <c r="AN132" i="1"/>
  <c r="AQ131" i="1"/>
  <c r="AP131" i="1"/>
  <c r="AO131" i="1"/>
  <c r="AN131" i="1"/>
  <c r="AQ130" i="1"/>
  <c r="AP130" i="1"/>
  <c r="AO130" i="1"/>
  <c r="AN130" i="1"/>
  <c r="AQ127" i="1"/>
  <c r="AP127" i="1"/>
  <c r="AO127" i="1"/>
  <c r="AN127" i="1"/>
  <c r="AQ126" i="1"/>
  <c r="AR126" i="1" s="1"/>
  <c r="AP126" i="1"/>
  <c r="AO126" i="1"/>
  <c r="AN126" i="1"/>
  <c r="AQ125" i="1"/>
  <c r="AQ229" i="1" s="1"/>
  <c r="AP125" i="1"/>
  <c r="AP229" i="1" s="1"/>
  <c r="AO125" i="1"/>
  <c r="AO229" i="1" s="1"/>
  <c r="AN125" i="1"/>
  <c r="AN229" i="1" s="1"/>
  <c r="AQ122" i="1"/>
  <c r="AQ226" i="1" s="1"/>
  <c r="AP122" i="1"/>
  <c r="AP226" i="1" s="1"/>
  <c r="AO122" i="1"/>
  <c r="AO226" i="1" s="1"/>
  <c r="AN122" i="1"/>
  <c r="AN226" i="1" s="1"/>
  <c r="AQ121" i="1"/>
  <c r="AQ207" i="1" s="1"/>
  <c r="AP121" i="1"/>
  <c r="AP207" i="1" s="1"/>
  <c r="AO121" i="1"/>
  <c r="AO207" i="1" s="1"/>
  <c r="AN121" i="1"/>
  <c r="AN207" i="1" s="1"/>
  <c r="AQ120" i="1"/>
  <c r="AQ205" i="1" s="1"/>
  <c r="AP120" i="1"/>
  <c r="AP205" i="1" s="1"/>
  <c r="AO120" i="1"/>
  <c r="AO205" i="1" s="1"/>
  <c r="AN120" i="1"/>
  <c r="AN205" i="1" s="1"/>
  <c r="AQ119" i="1"/>
  <c r="AQ203" i="1" s="1"/>
  <c r="AP119" i="1"/>
  <c r="AP203" i="1" s="1"/>
  <c r="AO119" i="1"/>
  <c r="AO203" i="1" s="1"/>
  <c r="AN119" i="1"/>
  <c r="AN203" i="1" s="1"/>
  <c r="AQ118" i="1"/>
  <c r="AQ201" i="1" s="1"/>
  <c r="AP118" i="1"/>
  <c r="AP201" i="1" s="1"/>
  <c r="AO118" i="1"/>
  <c r="AO201" i="1" s="1"/>
  <c r="AN118" i="1"/>
  <c r="AN201" i="1" s="1"/>
  <c r="AQ114" i="1"/>
  <c r="AP114" i="1"/>
  <c r="AO114" i="1"/>
  <c r="AN114" i="1"/>
  <c r="AQ113" i="1"/>
  <c r="AR113" i="1" s="1"/>
  <c r="AP113" i="1"/>
  <c r="AO113" i="1"/>
  <c r="AN113" i="1"/>
  <c r="AQ112" i="1"/>
  <c r="AQ223" i="1" s="1"/>
  <c r="AP112" i="1"/>
  <c r="AP223" i="1" s="1"/>
  <c r="AO112" i="1"/>
  <c r="AO223" i="1" s="1"/>
  <c r="AN112" i="1"/>
  <c r="AN223" i="1" s="1"/>
  <c r="AQ111" i="1"/>
  <c r="AP111" i="1"/>
  <c r="AO111" i="1"/>
  <c r="AN111" i="1"/>
  <c r="AQ110" i="1"/>
  <c r="AR110" i="1" s="1"/>
  <c r="AP110" i="1"/>
  <c r="AO110" i="1"/>
  <c r="AN110" i="1"/>
  <c r="AQ109" i="1"/>
  <c r="AP109" i="1"/>
  <c r="AO109" i="1"/>
  <c r="AN109" i="1"/>
  <c r="AQ106" i="1"/>
  <c r="AR106" i="1" s="1"/>
  <c r="AS106" i="1" s="1"/>
  <c r="AT106" i="1" s="1"/>
  <c r="AU106" i="1" s="1"/>
  <c r="AV106" i="1" s="1"/>
  <c r="AP106" i="1"/>
  <c r="AO106" i="1"/>
  <c r="AN106" i="1"/>
  <c r="AQ105" i="1"/>
  <c r="AQ198" i="1" s="1"/>
  <c r="AP105" i="1"/>
  <c r="AP198" i="1" s="1"/>
  <c r="AO105" i="1"/>
  <c r="AO198" i="1" s="1"/>
  <c r="AN105" i="1"/>
  <c r="AN198" i="1" s="1"/>
  <c r="AQ104" i="1"/>
  <c r="AQ196" i="1" s="1"/>
  <c r="AP104" i="1"/>
  <c r="AP196" i="1" s="1"/>
  <c r="AO104" i="1"/>
  <c r="AO196" i="1" s="1"/>
  <c r="AN104" i="1"/>
  <c r="AN196" i="1" s="1"/>
  <c r="AQ103" i="1"/>
  <c r="AQ194" i="1" s="1"/>
  <c r="AP103" i="1"/>
  <c r="AP194" i="1" s="1"/>
  <c r="AO103" i="1"/>
  <c r="AO194" i="1" s="1"/>
  <c r="AN103" i="1"/>
  <c r="AN194" i="1" s="1"/>
  <c r="AQ102" i="1"/>
  <c r="AP102" i="1"/>
  <c r="AO102" i="1"/>
  <c r="AN102" i="1"/>
  <c r="AN192" i="1" s="1"/>
  <c r="AQ101" i="1"/>
  <c r="AP101" i="1"/>
  <c r="AO101" i="1"/>
  <c r="AN101" i="1"/>
  <c r="AQ71" i="1"/>
  <c r="AQ92" i="1" s="1"/>
  <c r="AP71" i="1"/>
  <c r="AP92" i="1" s="1"/>
  <c r="AP70" i="1"/>
  <c r="AO71" i="1"/>
  <c r="AO92" i="1" s="1"/>
  <c r="AO70" i="1"/>
  <c r="AN71" i="1"/>
  <c r="AN92" i="1" s="1"/>
  <c r="AN70" i="1"/>
  <c r="AQ89" i="1"/>
  <c r="AP89" i="1"/>
  <c r="AO89" i="1"/>
  <c r="AQ87" i="1"/>
  <c r="AP87" i="1"/>
  <c r="AN87" i="1"/>
  <c r="AQ86" i="1"/>
  <c r="AP86" i="1"/>
  <c r="AO86" i="1"/>
  <c r="AN86" i="1"/>
  <c r="AQ85" i="1"/>
  <c r="AP85" i="1"/>
  <c r="AO85" i="1"/>
  <c r="AN85" i="1"/>
  <c r="AQ84" i="1"/>
  <c r="AP84" i="1"/>
  <c r="AO84" i="1"/>
  <c r="AN84" i="1"/>
  <c r="AQ83" i="1"/>
  <c r="AP83" i="1"/>
  <c r="AO83" i="1"/>
  <c r="AN83" i="1"/>
  <c r="AQ82" i="1"/>
  <c r="AP82" i="1"/>
  <c r="AO82" i="1"/>
  <c r="AN82" i="1"/>
  <c r="AQ81" i="1"/>
  <c r="AP81" i="1"/>
  <c r="AQ80" i="1"/>
  <c r="AP80" i="1"/>
  <c r="AO80" i="1"/>
  <c r="AN80" i="1"/>
  <c r="AQ79" i="1"/>
  <c r="AP79" i="1"/>
  <c r="AO79" i="1"/>
  <c r="AN79" i="1"/>
  <c r="AQ78" i="1"/>
  <c r="AP78" i="1"/>
  <c r="AO78" i="1"/>
  <c r="AN78" i="1"/>
  <c r="AV92" i="1"/>
  <c r="AV88" i="1"/>
  <c r="AV90" i="1" s="1"/>
  <c r="AU92" i="1"/>
  <c r="AU88" i="1"/>
  <c r="AU90" i="1" s="1"/>
  <c r="AT92" i="1"/>
  <c r="AT88" i="1"/>
  <c r="AT90" i="1" s="1"/>
  <c r="AS92" i="1"/>
  <c r="AS88" i="1"/>
  <c r="AS90" i="1" s="1"/>
  <c r="AR92" i="1"/>
  <c r="AR88" i="1"/>
  <c r="AR90" i="1" s="1"/>
  <c r="AQ64" i="1"/>
  <c r="AP64" i="1"/>
  <c r="AO64" i="1"/>
  <c r="AN64" i="1"/>
  <c r="R62" i="1"/>
  <c r="Q62" i="1"/>
  <c r="P62" i="1"/>
  <c r="O62" i="1"/>
  <c r="N62" i="1"/>
  <c r="M62" i="1"/>
  <c r="L62" i="1"/>
  <c r="K62" i="1"/>
  <c r="J62" i="1"/>
  <c r="I62" i="1"/>
  <c r="H62" i="1"/>
  <c r="G62" i="1"/>
  <c r="F62" i="1"/>
  <c r="E62" i="1"/>
  <c r="D62" i="1"/>
  <c r="C62" i="1"/>
  <c r="AQ61" i="1"/>
  <c r="AP61" i="1"/>
  <c r="AO61" i="1"/>
  <c r="AN61" i="1"/>
  <c r="R56" i="1"/>
  <c r="Q56" i="1"/>
  <c r="P56" i="1"/>
  <c r="O56" i="1"/>
  <c r="N56" i="1"/>
  <c r="M56" i="1"/>
  <c r="L56" i="1"/>
  <c r="K56" i="1"/>
  <c r="J56" i="1"/>
  <c r="I56" i="1"/>
  <c r="H56" i="1"/>
  <c r="G56" i="1"/>
  <c r="F56" i="1"/>
  <c r="E56" i="1"/>
  <c r="D56" i="1"/>
  <c r="C56" i="1"/>
  <c r="R54" i="1"/>
  <c r="Q54" i="1"/>
  <c r="P54" i="1"/>
  <c r="O54" i="1"/>
  <c r="N54" i="1"/>
  <c r="M54" i="1"/>
  <c r="L54" i="1"/>
  <c r="K54" i="1"/>
  <c r="J54" i="1"/>
  <c r="I54" i="1"/>
  <c r="H54" i="1"/>
  <c r="G54" i="1"/>
  <c r="F54" i="1"/>
  <c r="E54" i="1"/>
  <c r="D54" i="1"/>
  <c r="C54" i="1"/>
  <c r="R52" i="1"/>
  <c r="Q52" i="1"/>
  <c r="P52" i="1"/>
  <c r="O52" i="1"/>
  <c r="N52" i="1"/>
  <c r="M52" i="1"/>
  <c r="L52" i="1"/>
  <c r="K52" i="1"/>
  <c r="J52" i="1"/>
  <c r="I52" i="1"/>
  <c r="H52" i="1"/>
  <c r="G52" i="1"/>
  <c r="F52" i="1"/>
  <c r="E52" i="1"/>
  <c r="D52" i="1"/>
  <c r="C52" i="1"/>
  <c r="AR25" i="1"/>
  <c r="AS25" i="1" s="1"/>
  <c r="AT25" i="1" s="1"/>
  <c r="AU25" i="1" s="1"/>
  <c r="AV25" i="1" s="1"/>
  <c r="R50" i="1"/>
  <c r="Q50" i="1"/>
  <c r="P50" i="1"/>
  <c r="O50" i="1"/>
  <c r="N50" i="1"/>
  <c r="M50" i="1"/>
  <c r="L50" i="1"/>
  <c r="K50" i="1"/>
  <c r="J50" i="1"/>
  <c r="I50" i="1"/>
  <c r="H50" i="1"/>
  <c r="G50" i="1"/>
  <c r="F50" i="1"/>
  <c r="E50" i="1"/>
  <c r="D50" i="1"/>
  <c r="C50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C48" i="1"/>
  <c r="C24" i="11"/>
  <c r="F25" i="11"/>
  <c r="E25" i="11"/>
  <c r="D25" i="11"/>
  <c r="F26" i="11"/>
  <c r="E26" i="11"/>
  <c r="D26" i="11"/>
  <c r="C26" i="11"/>
  <c r="F27" i="11"/>
  <c r="E27" i="11"/>
  <c r="D27" i="11"/>
  <c r="C27" i="11"/>
  <c r="E30" i="11"/>
  <c r="D30" i="11"/>
  <c r="B33" i="11"/>
  <c r="B32" i="11" s="1"/>
  <c r="B31" i="11" s="1"/>
  <c r="B30" i="11" s="1"/>
  <c r="B29" i="11" s="1"/>
  <c r="B28" i="11" s="1"/>
  <c r="B27" i="11" s="1"/>
  <c r="B26" i="11" s="1"/>
  <c r="B25" i="11" s="1"/>
  <c r="B24" i="11" s="1"/>
  <c r="AS8" i="1"/>
  <c r="AT8" i="1" s="1"/>
  <c r="AU8" i="1" s="1"/>
  <c r="AV8" i="1" s="1"/>
  <c r="AS22" i="1"/>
  <c r="AT22" i="1" s="1"/>
  <c r="AU22" i="1" s="1"/>
  <c r="AV22" i="1" s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C46" i="1"/>
  <c r="R44" i="1"/>
  <c r="Q44" i="1"/>
  <c r="P44" i="1"/>
  <c r="O44" i="1"/>
  <c r="N44" i="1"/>
  <c r="M44" i="1"/>
  <c r="L44" i="1"/>
  <c r="K44" i="1"/>
  <c r="J44" i="1"/>
  <c r="I44" i="1"/>
  <c r="H44" i="1"/>
  <c r="G44" i="1"/>
  <c r="F44" i="1"/>
  <c r="E44" i="1"/>
  <c r="D44" i="1"/>
  <c r="C44" i="1"/>
  <c r="D42" i="1"/>
  <c r="E42" i="1"/>
  <c r="F42" i="1"/>
  <c r="G42" i="1"/>
  <c r="H42" i="1"/>
  <c r="I42" i="1"/>
  <c r="J42" i="1"/>
  <c r="K42" i="1"/>
  <c r="L42" i="1"/>
  <c r="M42" i="1"/>
  <c r="N42" i="1"/>
  <c r="O42" i="1"/>
  <c r="P42" i="1"/>
  <c r="Q42" i="1"/>
  <c r="R42" i="1"/>
  <c r="C42" i="1"/>
  <c r="J38" i="14"/>
  <c r="D50" i="14"/>
  <c r="E50" i="14" s="1"/>
  <c r="F50" i="14" s="1"/>
  <c r="G50" i="14" s="1"/>
  <c r="H50" i="14" s="1"/>
  <c r="D48" i="14"/>
  <c r="E48" i="14" s="1"/>
  <c r="F48" i="14" s="1"/>
  <c r="G48" i="14" s="1"/>
  <c r="H48" i="14" s="1"/>
  <c r="D44" i="14"/>
  <c r="E44" i="14"/>
  <c r="F44" i="14" s="1"/>
  <c r="G44" i="14" s="1"/>
  <c r="H44" i="14" s="1"/>
  <c r="N42" i="14"/>
  <c r="N39" i="14"/>
  <c r="G39" i="14" s="1"/>
  <c r="N36" i="14"/>
  <c r="G36" i="14" s="1"/>
  <c r="R53" i="14"/>
  <c r="S53" i="14" s="1"/>
  <c r="T53" i="14" s="1"/>
  <c r="U53" i="14" s="1"/>
  <c r="V53" i="14" s="1"/>
  <c r="Q70" i="14"/>
  <c r="R71" i="14" s="1"/>
  <c r="R79" i="14" s="1"/>
  <c r="Q68" i="14"/>
  <c r="R69" i="14" s="1"/>
  <c r="R78" i="14" s="1"/>
  <c r="K42" i="14"/>
  <c r="R66" i="14"/>
  <c r="Q66" i="14"/>
  <c r="U65" i="14"/>
  <c r="T60" i="14"/>
  <c r="T56" i="14" s="1"/>
  <c r="S60" i="14"/>
  <c r="S56" i="14" s="1"/>
  <c r="R60" i="14"/>
  <c r="R56" i="14" s="1"/>
  <c r="D23" i="14"/>
  <c r="E23" i="14" s="1"/>
  <c r="F23" i="14" s="1"/>
  <c r="G23" i="14" s="1"/>
  <c r="H23" i="14" s="1"/>
  <c r="AQ55" i="1"/>
  <c r="AP55" i="1"/>
  <c r="AO55" i="1"/>
  <c r="AN55" i="1"/>
  <c r="AQ53" i="1"/>
  <c r="AP53" i="1"/>
  <c r="AO53" i="1"/>
  <c r="AN53" i="1"/>
  <c r="AQ51" i="1"/>
  <c r="C22" i="15" s="1"/>
  <c r="AP51" i="1"/>
  <c r="AO51" i="1"/>
  <c r="AN51" i="1"/>
  <c r="AQ49" i="1"/>
  <c r="AP49" i="1"/>
  <c r="AO49" i="1"/>
  <c r="AN49" i="1"/>
  <c r="AQ47" i="1"/>
  <c r="AP47" i="1"/>
  <c r="AO47" i="1"/>
  <c r="AN47" i="1"/>
  <c r="AQ45" i="1"/>
  <c r="AP45" i="1"/>
  <c r="AO45" i="1"/>
  <c r="AN45" i="1"/>
  <c r="AQ43" i="1"/>
  <c r="AP43" i="1"/>
  <c r="AO43" i="1"/>
  <c r="AN43" i="1"/>
  <c r="AQ41" i="1"/>
  <c r="C29" i="14" s="1"/>
  <c r="AP41" i="1"/>
  <c r="AO41" i="1"/>
  <c r="AN41" i="1"/>
  <c r="AP15" i="1"/>
  <c r="AQ15" i="1"/>
  <c r="AQ38" i="1"/>
  <c r="AP38" i="1"/>
  <c r="AP189" i="1" s="1"/>
  <c r="AO38" i="1"/>
  <c r="AO189" i="1" s="1"/>
  <c r="AN38" i="1"/>
  <c r="AN189" i="1" s="1"/>
  <c r="AQ37" i="1"/>
  <c r="AP37" i="1"/>
  <c r="AO37" i="1"/>
  <c r="AN37" i="1"/>
  <c r="AQ36" i="1"/>
  <c r="AP36" i="1"/>
  <c r="AO36" i="1"/>
  <c r="AN36" i="1"/>
  <c r="AQ10" i="1"/>
  <c r="AP10" i="1"/>
  <c r="AO10" i="1"/>
  <c r="AN10" i="1"/>
  <c r="AN12" i="1"/>
  <c r="AO12" i="1"/>
  <c r="AP12" i="1"/>
  <c r="AQ12" i="1"/>
  <c r="AQ11" i="1"/>
  <c r="AP11" i="1"/>
  <c r="AO11" i="1"/>
  <c r="AN11" i="1"/>
  <c r="AQ13" i="1"/>
  <c r="C27" i="14" s="1"/>
  <c r="AP13" i="1"/>
  <c r="AO13" i="1"/>
  <c r="AN13" i="1"/>
  <c r="V22" i="1"/>
  <c r="Z22" i="1" s="1"/>
  <c r="U22" i="1"/>
  <c r="Y22" i="1" s="1"/>
  <c r="S22" i="1"/>
  <c r="M30" i="1"/>
  <c r="N30" i="1"/>
  <c r="O30" i="1"/>
  <c r="P30" i="1"/>
  <c r="Q30" i="1"/>
  <c r="R30" i="1"/>
  <c r="L30" i="1"/>
  <c r="S2" i="1"/>
  <c r="T22" i="1"/>
  <c r="X22" i="1" s="1"/>
  <c r="AB22" i="1" s="1"/>
  <c r="H39" i="1"/>
  <c r="I39" i="1"/>
  <c r="J39" i="1"/>
  <c r="K39" i="1"/>
  <c r="L39" i="1"/>
  <c r="M39" i="1"/>
  <c r="N39" i="1"/>
  <c r="O39" i="1"/>
  <c r="P39" i="1"/>
  <c r="Q39" i="1"/>
  <c r="R39" i="1"/>
  <c r="G39" i="1"/>
  <c r="C32" i="1"/>
  <c r="D32" i="1"/>
  <c r="E32" i="1"/>
  <c r="F32" i="1"/>
  <c r="G32" i="1"/>
  <c r="H32" i="1"/>
  <c r="I32" i="1"/>
  <c r="J32" i="1"/>
  <c r="K32" i="1"/>
  <c r="L32" i="1"/>
  <c r="M32" i="1"/>
  <c r="N32" i="1"/>
  <c r="O32" i="1"/>
  <c r="S32" i="1" s="1"/>
  <c r="W32" i="1" s="1"/>
  <c r="AA32" i="1" s="1"/>
  <c r="AE32" i="1" s="1"/>
  <c r="P32" i="1"/>
  <c r="T32" i="1" s="1"/>
  <c r="X32" i="1" s="1"/>
  <c r="AB32" i="1" s="1"/>
  <c r="AF32" i="1" s="1"/>
  <c r="Q32" i="1"/>
  <c r="U32" i="1" s="1"/>
  <c r="Y32" i="1" s="1"/>
  <c r="AC32" i="1" s="1"/>
  <c r="AG32" i="1" s="1"/>
  <c r="R32" i="1"/>
  <c r="V32" i="1" s="1"/>
  <c r="Z32" i="1" s="1"/>
  <c r="AD32" i="1" s="1"/>
  <c r="AH32" i="1" s="1"/>
  <c r="D31" i="1"/>
  <c r="E31" i="1"/>
  <c r="F31" i="1"/>
  <c r="G31" i="1"/>
  <c r="H31" i="1"/>
  <c r="I31" i="1"/>
  <c r="J31" i="1"/>
  <c r="K31" i="1"/>
  <c r="L31" i="1"/>
  <c r="M31" i="1"/>
  <c r="N31" i="1"/>
  <c r="O31" i="1"/>
  <c r="S31" i="1" s="1"/>
  <c r="W31" i="1" s="1"/>
  <c r="AA31" i="1" s="1"/>
  <c r="AE31" i="1" s="1"/>
  <c r="AI31" i="1" s="1"/>
  <c r="P31" i="1"/>
  <c r="T31" i="1" s="1"/>
  <c r="X31" i="1" s="1"/>
  <c r="AB31" i="1" s="1"/>
  <c r="AF31" i="1" s="1"/>
  <c r="AJ31" i="1" s="1"/>
  <c r="Q31" i="1"/>
  <c r="U31" i="1" s="1"/>
  <c r="Y31" i="1" s="1"/>
  <c r="AC31" i="1" s="1"/>
  <c r="AG31" i="1" s="1"/>
  <c r="AK31" i="1" s="1"/>
  <c r="R31" i="1"/>
  <c r="V31" i="1" s="1"/>
  <c r="Z31" i="1" s="1"/>
  <c r="AD31" i="1" s="1"/>
  <c r="AH31" i="1" s="1"/>
  <c r="AL31" i="1" s="1"/>
  <c r="C31" i="1"/>
  <c r="D17" i="1"/>
  <c r="E17" i="1"/>
  <c r="F17" i="1"/>
  <c r="G17" i="1"/>
  <c r="H17" i="1"/>
  <c r="I17" i="1"/>
  <c r="J17" i="1"/>
  <c r="K17" i="1"/>
  <c r="L17" i="1"/>
  <c r="M17" i="1"/>
  <c r="N17" i="1"/>
  <c r="O17" i="1"/>
  <c r="P17" i="1"/>
  <c r="Q17" i="1"/>
  <c r="R17" i="1"/>
  <c r="C17" i="1"/>
  <c r="S12" i="1"/>
  <c r="T12" i="1" s="1"/>
  <c r="U12" i="1" s="1"/>
  <c r="V12" i="1" s="1"/>
  <c r="W12" i="1" s="1"/>
  <c r="X12" i="1" s="1"/>
  <c r="Y12" i="1" s="1"/>
  <c r="Z12" i="1" s="1"/>
  <c r="AA12" i="1" s="1"/>
  <c r="AB12" i="1" s="1"/>
  <c r="AC12" i="1" s="1"/>
  <c r="AD12" i="1" s="1"/>
  <c r="AE12" i="1" s="1"/>
  <c r="AF12" i="1" s="1"/>
  <c r="AG12" i="1" s="1"/>
  <c r="AH12" i="1" s="1"/>
  <c r="AI12" i="1" s="1"/>
  <c r="AJ12" i="1" s="1"/>
  <c r="AK12" i="1" s="1"/>
  <c r="AL12" i="1" s="1"/>
  <c r="S11" i="1"/>
  <c r="T11" i="1" s="1"/>
  <c r="U11" i="1" s="1"/>
  <c r="V11" i="1" s="1"/>
  <c r="W11" i="1" s="1"/>
  <c r="X11" i="1" s="1"/>
  <c r="Y11" i="1" s="1"/>
  <c r="Z11" i="1" s="1"/>
  <c r="AA11" i="1" s="1"/>
  <c r="AB11" i="1" s="1"/>
  <c r="AC11" i="1" s="1"/>
  <c r="AD11" i="1" s="1"/>
  <c r="AE11" i="1" s="1"/>
  <c r="AF11" i="1" s="1"/>
  <c r="AG11" i="1" s="1"/>
  <c r="AH11" i="1" s="1"/>
  <c r="AI11" i="1" s="1"/>
  <c r="AJ11" i="1" s="1"/>
  <c r="AK11" i="1" s="1"/>
  <c r="AL11" i="1" s="1"/>
  <c r="B19" i="11"/>
  <c r="B20" i="11" s="1"/>
  <c r="B21" i="11" s="1"/>
  <c r="B22" i="11" s="1"/>
  <c r="L7" i="11"/>
  <c r="L8" i="11"/>
  <c r="L9" i="11"/>
  <c r="L13" i="11"/>
  <c r="N14" i="11" s="1"/>
  <c r="L12" i="11"/>
  <c r="L11" i="11"/>
  <c r="L10" i="11"/>
  <c r="F7" i="11"/>
  <c r="G7" i="11" s="1"/>
  <c r="E24" i="11" s="1"/>
  <c r="F8" i="11"/>
  <c r="G8" i="11" s="1"/>
  <c r="C25" i="11" s="1"/>
  <c r="G13" i="11"/>
  <c r="C30" i="11" s="1"/>
  <c r="G12" i="11"/>
  <c r="F29" i="11" s="1"/>
  <c r="G11" i="11"/>
  <c r="E28" i="11" s="1"/>
  <c r="F9" i="11"/>
  <c r="G9" i="11" s="1"/>
  <c r="F10" i="11"/>
  <c r="G10" i="11" s="1"/>
  <c r="L18" i="11"/>
  <c r="L15" i="11"/>
  <c r="N15" i="11" s="1"/>
  <c r="L17" i="11"/>
  <c r="L16" i="11"/>
  <c r="T24" i="1"/>
  <c r="U24" i="1"/>
  <c r="V24" i="1"/>
  <c r="S24" i="1"/>
  <c r="U25" i="1"/>
  <c r="Y25" i="1" s="1"/>
  <c r="AC25" i="1" s="1"/>
  <c r="AG25" i="1" s="1"/>
  <c r="AK25" i="1" s="1"/>
  <c r="S25" i="1"/>
  <c r="W25" i="1" s="1"/>
  <c r="AA25" i="1" s="1"/>
  <c r="AE25" i="1" s="1"/>
  <c r="AI25" i="1" s="1"/>
  <c r="D243" i="1"/>
  <c r="E243" i="1"/>
  <c r="F243" i="1"/>
  <c r="G243" i="1"/>
  <c r="H243" i="1"/>
  <c r="I243" i="1"/>
  <c r="J243" i="1"/>
  <c r="K243" i="1"/>
  <c r="L243" i="1"/>
  <c r="M243" i="1"/>
  <c r="N243" i="1"/>
  <c r="O243" i="1"/>
  <c r="P243" i="1"/>
  <c r="Q243" i="1"/>
  <c r="R243" i="1"/>
  <c r="C243" i="1"/>
  <c r="C252" i="1"/>
  <c r="D252" i="1"/>
  <c r="E252" i="1"/>
  <c r="F252" i="1"/>
  <c r="G252" i="1"/>
  <c r="H252" i="1"/>
  <c r="I252" i="1"/>
  <c r="J252" i="1"/>
  <c r="K252" i="1"/>
  <c r="L252" i="1"/>
  <c r="M252" i="1"/>
  <c r="N252" i="1"/>
  <c r="O252" i="1"/>
  <c r="P252" i="1"/>
  <c r="Q252" i="1"/>
  <c r="R252" i="1"/>
  <c r="C255" i="1"/>
  <c r="D255" i="1"/>
  <c r="E255" i="1"/>
  <c r="F255" i="1"/>
  <c r="G255" i="1"/>
  <c r="H255" i="1"/>
  <c r="I255" i="1"/>
  <c r="J255" i="1"/>
  <c r="K255" i="1"/>
  <c r="L255" i="1"/>
  <c r="M255" i="1"/>
  <c r="N255" i="1"/>
  <c r="O255" i="1"/>
  <c r="P255" i="1"/>
  <c r="Q255" i="1"/>
  <c r="R255" i="1"/>
  <c r="C258" i="1"/>
  <c r="D258" i="1"/>
  <c r="E258" i="1"/>
  <c r="F258" i="1"/>
  <c r="G258" i="1"/>
  <c r="H258" i="1"/>
  <c r="I258" i="1"/>
  <c r="J258" i="1"/>
  <c r="K258" i="1"/>
  <c r="L258" i="1"/>
  <c r="M258" i="1"/>
  <c r="N258" i="1"/>
  <c r="O258" i="1"/>
  <c r="P258" i="1"/>
  <c r="Q258" i="1"/>
  <c r="R258" i="1"/>
  <c r="C261" i="1"/>
  <c r="D261" i="1"/>
  <c r="E261" i="1"/>
  <c r="F261" i="1"/>
  <c r="G261" i="1"/>
  <c r="H261" i="1"/>
  <c r="I261" i="1"/>
  <c r="J261" i="1"/>
  <c r="K261" i="1"/>
  <c r="L261" i="1"/>
  <c r="M261" i="1"/>
  <c r="N261" i="1"/>
  <c r="O261" i="1"/>
  <c r="P261" i="1"/>
  <c r="Q261" i="1"/>
  <c r="R261" i="1"/>
  <c r="C264" i="1"/>
  <c r="D264" i="1"/>
  <c r="E264" i="1"/>
  <c r="F264" i="1"/>
  <c r="G264" i="1"/>
  <c r="H264" i="1"/>
  <c r="I264" i="1"/>
  <c r="J264" i="1"/>
  <c r="K264" i="1"/>
  <c r="L264" i="1"/>
  <c r="M264" i="1"/>
  <c r="N264" i="1"/>
  <c r="O264" i="1"/>
  <c r="P264" i="1"/>
  <c r="Q264" i="1"/>
  <c r="R264" i="1"/>
  <c r="C267" i="1"/>
  <c r="D267" i="1"/>
  <c r="E267" i="1"/>
  <c r="F267" i="1"/>
  <c r="G267" i="1"/>
  <c r="H267" i="1"/>
  <c r="I267" i="1"/>
  <c r="J267" i="1"/>
  <c r="K267" i="1"/>
  <c r="L267" i="1"/>
  <c r="M267" i="1"/>
  <c r="N267" i="1"/>
  <c r="O267" i="1"/>
  <c r="P267" i="1"/>
  <c r="Q267" i="1"/>
  <c r="R267" i="1"/>
  <c r="C249" i="1"/>
  <c r="D249" i="1"/>
  <c r="E249" i="1"/>
  <c r="F249" i="1"/>
  <c r="G249" i="1"/>
  <c r="H249" i="1"/>
  <c r="I249" i="1"/>
  <c r="J249" i="1"/>
  <c r="K249" i="1"/>
  <c r="L249" i="1"/>
  <c r="M249" i="1"/>
  <c r="N249" i="1"/>
  <c r="O249" i="1"/>
  <c r="P249" i="1"/>
  <c r="Q249" i="1"/>
  <c r="R249" i="1"/>
  <c r="D246" i="1"/>
  <c r="E246" i="1"/>
  <c r="F246" i="1"/>
  <c r="G246" i="1"/>
  <c r="H246" i="1"/>
  <c r="I246" i="1"/>
  <c r="J246" i="1"/>
  <c r="K246" i="1"/>
  <c r="L246" i="1"/>
  <c r="M246" i="1"/>
  <c r="N246" i="1"/>
  <c r="O246" i="1"/>
  <c r="P246" i="1"/>
  <c r="Q246" i="1"/>
  <c r="R246" i="1"/>
  <c r="C246" i="1"/>
  <c r="G251" i="1"/>
  <c r="H251" i="1"/>
  <c r="I251" i="1"/>
  <c r="J251" i="1"/>
  <c r="K251" i="1"/>
  <c r="L251" i="1"/>
  <c r="M251" i="1"/>
  <c r="N251" i="1"/>
  <c r="O251" i="1"/>
  <c r="P251" i="1"/>
  <c r="Q251" i="1"/>
  <c r="R251" i="1"/>
  <c r="F251" i="1"/>
  <c r="C268" i="1"/>
  <c r="D268" i="1"/>
  <c r="E268" i="1"/>
  <c r="F268" i="1"/>
  <c r="G268" i="1"/>
  <c r="H268" i="1"/>
  <c r="I268" i="1"/>
  <c r="J268" i="1"/>
  <c r="K268" i="1"/>
  <c r="L268" i="1"/>
  <c r="M268" i="1"/>
  <c r="N268" i="1"/>
  <c r="O268" i="1"/>
  <c r="P268" i="1"/>
  <c r="Q268" i="1"/>
  <c r="R268" i="1"/>
  <c r="C265" i="1"/>
  <c r="D265" i="1"/>
  <c r="E265" i="1"/>
  <c r="F265" i="1"/>
  <c r="G265" i="1"/>
  <c r="H265" i="1"/>
  <c r="I265" i="1"/>
  <c r="J265" i="1"/>
  <c r="K265" i="1"/>
  <c r="L265" i="1"/>
  <c r="M265" i="1"/>
  <c r="N265" i="1"/>
  <c r="O265" i="1"/>
  <c r="P265" i="1"/>
  <c r="Q265" i="1"/>
  <c r="R265" i="1"/>
  <c r="C262" i="1"/>
  <c r="D262" i="1"/>
  <c r="E262" i="1"/>
  <c r="F262" i="1"/>
  <c r="G262" i="1"/>
  <c r="H262" i="1"/>
  <c r="I262" i="1"/>
  <c r="J262" i="1"/>
  <c r="K262" i="1"/>
  <c r="L262" i="1"/>
  <c r="M262" i="1"/>
  <c r="N262" i="1"/>
  <c r="O262" i="1"/>
  <c r="P262" i="1"/>
  <c r="Q262" i="1"/>
  <c r="R262" i="1"/>
  <c r="C259" i="1"/>
  <c r="D259" i="1"/>
  <c r="E259" i="1"/>
  <c r="F259" i="1"/>
  <c r="G259" i="1"/>
  <c r="H259" i="1"/>
  <c r="I259" i="1"/>
  <c r="J259" i="1"/>
  <c r="K259" i="1"/>
  <c r="L259" i="1"/>
  <c r="M259" i="1"/>
  <c r="N259" i="1"/>
  <c r="O259" i="1"/>
  <c r="P259" i="1"/>
  <c r="Q259" i="1"/>
  <c r="R259" i="1"/>
  <c r="C256" i="1"/>
  <c r="D256" i="1"/>
  <c r="E256" i="1"/>
  <c r="F256" i="1"/>
  <c r="G256" i="1"/>
  <c r="H256" i="1"/>
  <c r="I256" i="1"/>
  <c r="J256" i="1"/>
  <c r="K256" i="1"/>
  <c r="L256" i="1"/>
  <c r="M256" i="1"/>
  <c r="N256" i="1"/>
  <c r="O256" i="1"/>
  <c r="P256" i="1"/>
  <c r="Q256" i="1"/>
  <c r="R256" i="1"/>
  <c r="C253" i="1"/>
  <c r="D253" i="1"/>
  <c r="E253" i="1"/>
  <c r="F253" i="1"/>
  <c r="G253" i="1"/>
  <c r="H253" i="1"/>
  <c r="I253" i="1"/>
  <c r="J253" i="1"/>
  <c r="K253" i="1"/>
  <c r="L253" i="1"/>
  <c r="M253" i="1"/>
  <c r="N253" i="1"/>
  <c r="O253" i="1"/>
  <c r="P253" i="1"/>
  <c r="Q253" i="1"/>
  <c r="R253" i="1"/>
  <c r="D250" i="1"/>
  <c r="E250" i="1"/>
  <c r="F250" i="1"/>
  <c r="G250" i="1"/>
  <c r="H250" i="1"/>
  <c r="I250" i="1"/>
  <c r="J250" i="1"/>
  <c r="K250" i="1"/>
  <c r="L250" i="1"/>
  <c r="M250" i="1"/>
  <c r="N250" i="1"/>
  <c r="O250" i="1"/>
  <c r="P250" i="1"/>
  <c r="Q250" i="1"/>
  <c r="R250" i="1"/>
  <c r="C250" i="1"/>
  <c r="C14" i="11"/>
  <c r="D14" i="11"/>
  <c r="E14" i="11"/>
  <c r="F14" i="11"/>
  <c r="C15" i="11"/>
  <c r="D15" i="11"/>
  <c r="E15" i="11"/>
  <c r="F15" i="11"/>
  <c r="C16" i="11"/>
  <c r="D16" i="11"/>
  <c r="E16" i="11"/>
  <c r="F16" i="11"/>
  <c r="C17" i="11"/>
  <c r="D17" i="11"/>
  <c r="E17" i="11"/>
  <c r="F17" i="11"/>
  <c r="C53" i="11"/>
  <c r="C52" i="11"/>
  <c r="C51" i="11"/>
  <c r="C50" i="11"/>
  <c r="G48" i="11"/>
  <c r="F48" i="11"/>
  <c r="E48" i="11"/>
  <c r="D48" i="11"/>
  <c r="G47" i="11"/>
  <c r="F47" i="11"/>
  <c r="E47" i="11"/>
  <c r="D47" i="11"/>
  <c r="G46" i="11"/>
  <c r="F46" i="11"/>
  <c r="E46" i="11"/>
  <c r="D46" i="11"/>
  <c r="G45" i="11"/>
  <c r="F45" i="11"/>
  <c r="E45" i="11"/>
  <c r="D45" i="11"/>
  <c r="D50" i="11" s="1"/>
  <c r="C81" i="1"/>
  <c r="C88" i="1" s="1"/>
  <c r="C90" i="1" s="1"/>
  <c r="H87" i="1"/>
  <c r="H88" i="1" s="1"/>
  <c r="H90" i="1" s="1"/>
  <c r="E89" i="1"/>
  <c r="AN89" i="1" s="1"/>
  <c r="J81" i="1"/>
  <c r="J88" i="1" s="1"/>
  <c r="J90" i="1" s="1"/>
  <c r="O123" i="1"/>
  <c r="R92" i="1"/>
  <c r="Q92" i="1"/>
  <c r="P92" i="1"/>
  <c r="O92" i="1"/>
  <c r="M92" i="1"/>
  <c r="L92" i="1"/>
  <c r="K92" i="1"/>
  <c r="J92" i="1"/>
  <c r="I92" i="1"/>
  <c r="H92" i="1"/>
  <c r="G92" i="1"/>
  <c r="F92" i="1"/>
  <c r="E92" i="1"/>
  <c r="D92" i="1"/>
  <c r="C92" i="1"/>
  <c r="N92" i="1"/>
  <c r="L75" i="1"/>
  <c r="K75" i="1"/>
  <c r="J75" i="1"/>
  <c r="I75" i="1"/>
  <c r="H75" i="1"/>
  <c r="G75" i="1"/>
  <c r="F75" i="1"/>
  <c r="E75" i="1"/>
  <c r="D75" i="1"/>
  <c r="C75" i="1"/>
  <c r="L93" i="1"/>
  <c r="K93" i="1"/>
  <c r="J93" i="1"/>
  <c r="I93" i="1"/>
  <c r="H93" i="1"/>
  <c r="G93" i="1"/>
  <c r="F93" i="1"/>
  <c r="E93" i="1"/>
  <c r="D93" i="1"/>
  <c r="C93" i="1"/>
  <c r="L88" i="1"/>
  <c r="L90" i="1" s="1"/>
  <c r="K88" i="1"/>
  <c r="K90" i="1" s="1"/>
  <c r="I88" i="1"/>
  <c r="I90" i="1" s="1"/>
  <c r="G88" i="1"/>
  <c r="G90" i="1" s="1"/>
  <c r="F88" i="1"/>
  <c r="F90" i="1" s="1"/>
  <c r="E88" i="1"/>
  <c r="D88" i="1"/>
  <c r="D90" i="1" s="1"/>
  <c r="R93" i="1"/>
  <c r="Q93" i="1"/>
  <c r="P93" i="1"/>
  <c r="O93" i="1"/>
  <c r="M93" i="1"/>
  <c r="N93" i="1"/>
  <c r="N88" i="1"/>
  <c r="N90" i="1" s="1"/>
  <c r="O88" i="1"/>
  <c r="O90" i="1" s="1"/>
  <c r="P88" i="1"/>
  <c r="P90" i="1" s="1"/>
  <c r="Q88" i="1"/>
  <c r="Q90" i="1" s="1"/>
  <c r="R88" i="1"/>
  <c r="R90" i="1" s="1"/>
  <c r="M88" i="1"/>
  <c r="M90" i="1" s="1"/>
  <c r="N75" i="1"/>
  <c r="O75" i="1"/>
  <c r="P75" i="1"/>
  <c r="Q75" i="1"/>
  <c r="R75" i="1"/>
  <c r="M75" i="1"/>
  <c r="AO3" i="1"/>
  <c r="AP3" i="1" s="1"/>
  <c r="AQ3" i="1" s="1"/>
  <c r="AR3" i="1" s="1"/>
  <c r="AS3" i="1" s="1"/>
  <c r="AT3" i="1" s="1"/>
  <c r="AU3" i="1" s="1"/>
  <c r="AV3" i="1" s="1"/>
  <c r="AQ20" i="1" l="1"/>
  <c r="C25" i="14"/>
  <c r="C5" i="20"/>
  <c r="AZ13" i="1"/>
  <c r="R67" i="14"/>
  <c r="G42" i="14"/>
  <c r="H42" i="14"/>
  <c r="AQ189" i="1"/>
  <c r="AQ233" i="1" s="1"/>
  <c r="C16" i="15"/>
  <c r="AP239" i="1"/>
  <c r="AR112" i="1"/>
  <c r="AS112" i="1" s="1"/>
  <c r="AT112" i="1" s="1"/>
  <c r="AU112" i="1" s="1"/>
  <c r="AV112" i="1" s="1"/>
  <c r="AR114" i="1"/>
  <c r="AS114" i="1" s="1"/>
  <c r="AT114" i="1" s="1"/>
  <c r="AU114" i="1" s="1"/>
  <c r="AV114" i="1" s="1"/>
  <c r="AR127" i="1"/>
  <c r="AS127" i="1" s="1"/>
  <c r="AT127" i="1" s="1"/>
  <c r="AU127" i="1" s="1"/>
  <c r="AV127" i="1" s="1"/>
  <c r="AR125" i="1"/>
  <c r="AS125" i="1" s="1"/>
  <c r="AT125" i="1" s="1"/>
  <c r="AU125" i="1" s="1"/>
  <c r="AV125" i="1" s="1"/>
  <c r="AS126" i="1"/>
  <c r="AT126" i="1" s="1"/>
  <c r="AU126" i="1" s="1"/>
  <c r="AV126" i="1" s="1"/>
  <c r="AN239" i="1"/>
  <c r="AO239" i="1"/>
  <c r="AS113" i="1"/>
  <c r="AS111" i="1"/>
  <c r="AT111" i="1" s="1"/>
  <c r="AU111" i="1" s="1"/>
  <c r="AV111" i="1" s="1"/>
  <c r="AS110" i="1"/>
  <c r="AT110" i="1" s="1"/>
  <c r="AU110" i="1" s="1"/>
  <c r="AV110" i="1" s="1"/>
  <c r="AR122" i="1"/>
  <c r="AS122" i="1" s="1"/>
  <c r="AT122" i="1" s="1"/>
  <c r="AU122" i="1" s="1"/>
  <c r="AV122" i="1" s="1"/>
  <c r="AN230" i="1"/>
  <c r="AN233" i="1"/>
  <c r="AS132" i="1"/>
  <c r="AO230" i="1"/>
  <c r="AP230" i="1"/>
  <c r="AO233" i="1"/>
  <c r="AP233" i="1"/>
  <c r="AN236" i="1"/>
  <c r="AQ236" i="1"/>
  <c r="AP236" i="1"/>
  <c r="AO236" i="1"/>
  <c r="AP218" i="1"/>
  <c r="AO218" i="1"/>
  <c r="AP224" i="1"/>
  <c r="AO224" i="1"/>
  <c r="AN224" i="1"/>
  <c r="AP221" i="1"/>
  <c r="AN221" i="1"/>
  <c r="AN218" i="1"/>
  <c r="AN204" i="1"/>
  <c r="AO221" i="1"/>
  <c r="AO204" i="1"/>
  <c r="AN211" i="1"/>
  <c r="AN206" i="1"/>
  <c r="AP206" i="1"/>
  <c r="AN210" i="1"/>
  <c r="AN208" i="1"/>
  <c r="AO211" i="1"/>
  <c r="AQ211" i="1"/>
  <c r="AP211" i="1"/>
  <c r="AP208" i="1"/>
  <c r="AP204" i="1"/>
  <c r="AO206" i="1"/>
  <c r="AO208" i="1"/>
  <c r="AP197" i="1"/>
  <c r="AN193" i="1"/>
  <c r="AO197" i="1"/>
  <c r="AO199" i="1"/>
  <c r="AP199" i="1"/>
  <c r="AN199" i="1"/>
  <c r="AN197" i="1"/>
  <c r="AQ192" i="1"/>
  <c r="AP192" i="1"/>
  <c r="AO192" i="1"/>
  <c r="AP54" i="1"/>
  <c r="AQ137" i="1"/>
  <c r="AN137" i="1"/>
  <c r="AO87" i="1"/>
  <c r="AQ123" i="1"/>
  <c r="AQ128" i="1" s="1"/>
  <c r="AO137" i="1"/>
  <c r="AP137" i="1"/>
  <c r="AO107" i="1"/>
  <c r="AO115" i="1" s="1"/>
  <c r="AO227" i="1" s="1"/>
  <c r="AP123" i="1"/>
  <c r="AP128" i="1" s="1"/>
  <c r="AN123" i="1"/>
  <c r="AN128" i="1" s="1"/>
  <c r="AO123" i="1"/>
  <c r="AO128" i="1" s="1"/>
  <c r="AN54" i="1"/>
  <c r="AO54" i="1"/>
  <c r="AQ107" i="1"/>
  <c r="AQ115" i="1" s="1"/>
  <c r="AP107" i="1"/>
  <c r="AP115" i="1" s="1"/>
  <c r="AP227" i="1" s="1"/>
  <c r="AN107" i="1"/>
  <c r="AN115" i="1" s="1"/>
  <c r="AN227" i="1" s="1"/>
  <c r="AP62" i="1"/>
  <c r="AQ62" i="1"/>
  <c r="AR62" i="1" s="1"/>
  <c r="AS62" i="1" s="1"/>
  <c r="AT62" i="1" s="1"/>
  <c r="AU62" i="1" s="1"/>
  <c r="AV62" i="1" s="1"/>
  <c r="AN62" i="1"/>
  <c r="AN81" i="1"/>
  <c r="AN88" i="1" s="1"/>
  <c r="AN90" i="1" s="1"/>
  <c r="AP88" i="1"/>
  <c r="AP90" i="1" s="1"/>
  <c r="AN56" i="1"/>
  <c r="AQ88" i="1"/>
  <c r="AQ90" i="1" s="1"/>
  <c r="AO81" i="1"/>
  <c r="AO56" i="1"/>
  <c r="AO62" i="1"/>
  <c r="AP56" i="1"/>
  <c r="AQ56" i="1"/>
  <c r="AR56" i="1" s="1"/>
  <c r="AQ54" i="1"/>
  <c r="AR54" i="1" s="1"/>
  <c r="AS54" i="1" s="1"/>
  <c r="AT54" i="1" s="1"/>
  <c r="AU54" i="1" s="1"/>
  <c r="AV54" i="1" s="1"/>
  <c r="L91" i="1"/>
  <c r="L94" i="1" s="1"/>
  <c r="AP50" i="1"/>
  <c r="AP52" i="1"/>
  <c r="AN50" i="1"/>
  <c r="AO50" i="1"/>
  <c r="AQ52" i="1"/>
  <c r="AR52" i="1" s="1"/>
  <c r="AO46" i="1"/>
  <c r="AQ50" i="1"/>
  <c r="AR50" i="1" s="1"/>
  <c r="AS50" i="1" s="1"/>
  <c r="AT50" i="1" s="1"/>
  <c r="AU50" i="1" s="1"/>
  <c r="AV50" i="1" s="1"/>
  <c r="AP46" i="1"/>
  <c r="AN52" i="1"/>
  <c r="AQ46" i="1"/>
  <c r="AR46" i="1" s="1"/>
  <c r="AO52" i="1"/>
  <c r="AN48" i="1"/>
  <c r="AS23" i="1"/>
  <c r="AS15" i="1" s="1"/>
  <c r="AR23" i="1"/>
  <c r="AR15" i="1" s="1"/>
  <c r="AO48" i="1"/>
  <c r="AP48" i="1"/>
  <c r="AQ48" i="1"/>
  <c r="AR48" i="1" s="1"/>
  <c r="H36" i="14"/>
  <c r="H39" i="14"/>
  <c r="F28" i="11"/>
  <c r="F30" i="11"/>
  <c r="C29" i="11"/>
  <c r="D29" i="11"/>
  <c r="D24" i="11"/>
  <c r="E29" i="11"/>
  <c r="F24" i="11"/>
  <c r="C28" i="11"/>
  <c r="D28" i="11"/>
  <c r="N9" i="11"/>
  <c r="N8" i="11"/>
  <c r="O9" i="11" s="1"/>
  <c r="N11" i="11"/>
  <c r="M10" i="11"/>
  <c r="M11" i="11"/>
  <c r="N16" i="11"/>
  <c r="N10" i="11"/>
  <c r="M7" i="11"/>
  <c r="M9" i="11"/>
  <c r="L19" i="11"/>
  <c r="N19" i="11" s="1"/>
  <c r="H10" i="11"/>
  <c r="M12" i="11"/>
  <c r="H8" i="11"/>
  <c r="H9" i="11"/>
  <c r="N12" i="11"/>
  <c r="M8" i="11"/>
  <c r="N18" i="11"/>
  <c r="M13" i="11"/>
  <c r="N13" i="11"/>
  <c r="O14" i="11" s="1"/>
  <c r="AN46" i="1"/>
  <c r="AP42" i="1"/>
  <c r="AN42" i="1"/>
  <c r="AO42" i="1"/>
  <c r="AN44" i="1"/>
  <c r="AO44" i="1"/>
  <c r="AP44" i="1"/>
  <c r="AQ44" i="1"/>
  <c r="AR44" i="1" s="1"/>
  <c r="AQ42" i="1"/>
  <c r="C31" i="14"/>
  <c r="C43" i="14" s="1"/>
  <c r="C47" i="14"/>
  <c r="D47" i="14" s="1"/>
  <c r="E47" i="14" s="1"/>
  <c r="F47" i="14" s="1"/>
  <c r="G47" i="14" s="1"/>
  <c r="H47" i="14" s="1"/>
  <c r="C49" i="14"/>
  <c r="D49" i="14" s="1"/>
  <c r="E49" i="14" s="1"/>
  <c r="F49" i="14" s="1"/>
  <c r="G49" i="14" s="1"/>
  <c r="H49" i="14" s="1"/>
  <c r="R77" i="14"/>
  <c r="R80" i="14" s="1"/>
  <c r="T57" i="14"/>
  <c r="AP39" i="1"/>
  <c r="AQ32" i="1"/>
  <c r="AR32" i="1" s="1"/>
  <c r="AS32" i="1" s="1"/>
  <c r="AT32" i="1" s="1"/>
  <c r="AU32" i="1" s="1"/>
  <c r="AV32" i="1" s="1"/>
  <c r="AO39" i="1"/>
  <c r="AN31" i="1"/>
  <c r="AP32" i="1"/>
  <c r="AN57" i="1"/>
  <c r="AP31" i="1"/>
  <c r="AQ31" i="1"/>
  <c r="AR31" i="1" s="1"/>
  <c r="AS31" i="1" s="1"/>
  <c r="AT31" i="1" s="1"/>
  <c r="AU31" i="1" s="1"/>
  <c r="AV31" i="1" s="1"/>
  <c r="AN32" i="1"/>
  <c r="AO32" i="1"/>
  <c r="AO57" i="1"/>
  <c r="AP57" i="1"/>
  <c r="AQ57" i="1"/>
  <c r="AO17" i="1"/>
  <c r="AR12" i="1"/>
  <c r="AS12" i="1" s="1"/>
  <c r="AT12" i="1" s="1"/>
  <c r="AU12" i="1" s="1"/>
  <c r="AV12" i="1" s="1"/>
  <c r="AO31" i="1"/>
  <c r="AQ17" i="1"/>
  <c r="AQ39" i="1"/>
  <c r="AN17" i="1"/>
  <c r="AP17" i="1"/>
  <c r="T25" i="1"/>
  <c r="X25" i="1" s="1"/>
  <c r="AB25" i="1" s="1"/>
  <c r="AF25" i="1" s="1"/>
  <c r="AJ25" i="1" s="1"/>
  <c r="V25" i="1"/>
  <c r="Z25" i="1" s="1"/>
  <c r="AD25" i="1" s="1"/>
  <c r="AH25" i="1" s="1"/>
  <c r="AL25" i="1" s="1"/>
  <c r="AC22" i="1"/>
  <c r="AD22" i="1"/>
  <c r="AF22" i="1"/>
  <c r="AJ22" i="1" s="1"/>
  <c r="W22" i="1"/>
  <c r="AL32" i="1"/>
  <c r="AK32" i="1"/>
  <c r="AJ32" i="1"/>
  <c r="AI32" i="1"/>
  <c r="R247" i="1"/>
  <c r="H247" i="1"/>
  <c r="H11" i="11"/>
  <c r="H12" i="11"/>
  <c r="H13" i="11"/>
  <c r="N17" i="11"/>
  <c r="U23" i="1"/>
  <c r="T23" i="1"/>
  <c r="Q247" i="1"/>
  <c r="G247" i="1"/>
  <c r="P247" i="1"/>
  <c r="F247" i="1"/>
  <c r="M247" i="1"/>
  <c r="O248" i="1"/>
  <c r="L247" i="1"/>
  <c r="K247" i="1"/>
  <c r="Q248" i="1"/>
  <c r="G248" i="1"/>
  <c r="P248" i="1"/>
  <c r="J247" i="1"/>
  <c r="I247" i="1"/>
  <c r="K248" i="1"/>
  <c r="C247" i="1"/>
  <c r="M248" i="1"/>
  <c r="L248" i="1"/>
  <c r="R248" i="1"/>
  <c r="H248" i="1"/>
  <c r="O247" i="1"/>
  <c r="E247" i="1"/>
  <c r="N247" i="1"/>
  <c r="D247" i="1"/>
  <c r="F248" i="1"/>
  <c r="J248" i="1"/>
  <c r="P270" i="1"/>
  <c r="F270" i="1"/>
  <c r="I248" i="1"/>
  <c r="N248" i="1"/>
  <c r="E270" i="1"/>
  <c r="J270" i="1"/>
  <c r="N270" i="1"/>
  <c r="I270" i="1"/>
  <c r="K270" i="1"/>
  <c r="M270" i="1"/>
  <c r="R270" i="1"/>
  <c r="H270" i="1"/>
  <c r="O270" i="1"/>
  <c r="L270" i="1"/>
  <c r="D270" i="1"/>
  <c r="Q270" i="1"/>
  <c r="G270" i="1"/>
  <c r="C270" i="1"/>
  <c r="D52" i="11"/>
  <c r="G14" i="11"/>
  <c r="G17" i="11"/>
  <c r="F34" i="11" s="1"/>
  <c r="F51" i="11"/>
  <c r="G16" i="11"/>
  <c r="C33" i="11" s="1"/>
  <c r="D51" i="11"/>
  <c r="G15" i="11"/>
  <c r="M15" i="11" s="1"/>
  <c r="G50" i="11"/>
  <c r="E51" i="11"/>
  <c r="E52" i="11"/>
  <c r="F52" i="11"/>
  <c r="E50" i="11"/>
  <c r="F50" i="11"/>
  <c r="D53" i="11"/>
  <c r="D58" i="11" s="1"/>
  <c r="G51" i="11"/>
  <c r="E53" i="11"/>
  <c r="E58" i="11" s="1"/>
  <c r="F53" i="11"/>
  <c r="F58" i="11" s="1"/>
  <c r="G53" i="11"/>
  <c r="G58" i="11" s="1"/>
  <c r="G52" i="11"/>
  <c r="I91" i="1"/>
  <c r="I94" i="1" s="1"/>
  <c r="H91" i="1"/>
  <c r="H94" i="1" s="1"/>
  <c r="C91" i="1"/>
  <c r="C94" i="1" s="1"/>
  <c r="N91" i="1"/>
  <c r="N94" i="1" s="1"/>
  <c r="D91" i="1"/>
  <c r="D94" i="1" s="1"/>
  <c r="F91" i="1"/>
  <c r="F94" i="1" s="1"/>
  <c r="G91" i="1"/>
  <c r="G94" i="1" s="1"/>
  <c r="O91" i="1"/>
  <c r="O94" i="1" s="1"/>
  <c r="E90" i="1"/>
  <c r="E91" i="1" s="1"/>
  <c r="E94" i="1" s="1"/>
  <c r="M91" i="1"/>
  <c r="M94" i="1" s="1"/>
  <c r="R91" i="1"/>
  <c r="R94" i="1" s="1"/>
  <c r="Q91" i="1"/>
  <c r="Q94" i="1" s="1"/>
  <c r="J91" i="1"/>
  <c r="J94" i="1" s="1"/>
  <c r="K91" i="1"/>
  <c r="K94" i="1" s="1"/>
  <c r="P91" i="1"/>
  <c r="P94" i="1" s="1"/>
  <c r="AQ224" i="1" l="1"/>
  <c r="AQ218" i="1"/>
  <c r="AQ227" i="1"/>
  <c r="AR227" i="1" s="1"/>
  <c r="AQ197" i="1"/>
  <c r="AR197" i="1" s="1"/>
  <c r="AS197" i="1" s="1"/>
  <c r="AT197" i="1" s="1"/>
  <c r="AU197" i="1" s="1"/>
  <c r="AV197" i="1" s="1"/>
  <c r="AQ208" i="1"/>
  <c r="AQ239" i="1"/>
  <c r="AQ230" i="1"/>
  <c r="AR230" i="1" s="1"/>
  <c r="AS230" i="1" s="1"/>
  <c r="AT230" i="1" s="1"/>
  <c r="AQ206" i="1"/>
  <c r="AR206" i="1" s="1"/>
  <c r="AS206" i="1" s="1"/>
  <c r="AT206" i="1" s="1"/>
  <c r="AQ204" i="1"/>
  <c r="AR204" i="1" s="1"/>
  <c r="AS204" i="1" s="1"/>
  <c r="I5" i="20"/>
  <c r="J6" i="20" s="1"/>
  <c r="AQ221" i="1"/>
  <c r="AR221" i="1" s="1"/>
  <c r="AS221" i="1" s="1"/>
  <c r="AT221" i="1" s="1"/>
  <c r="AU221" i="1" s="1"/>
  <c r="AV221" i="1" s="1"/>
  <c r="AQ199" i="1"/>
  <c r="AR199" i="1" s="1"/>
  <c r="AS199" i="1" s="1"/>
  <c r="S73" i="14"/>
  <c r="D42" i="14" s="1"/>
  <c r="T73" i="14"/>
  <c r="U73" i="14" s="1"/>
  <c r="F42" i="14" s="1"/>
  <c r="R57" i="14"/>
  <c r="S57" i="14"/>
  <c r="E36" i="14" s="1"/>
  <c r="AR239" i="1"/>
  <c r="AS239" i="1" s="1"/>
  <c r="AT239" i="1" s="1"/>
  <c r="AT113" i="1"/>
  <c r="AU113" i="1" s="1"/>
  <c r="AV113" i="1" s="1"/>
  <c r="AR233" i="1"/>
  <c r="AS233" i="1" s="1"/>
  <c r="AT132" i="1"/>
  <c r="AN212" i="1"/>
  <c r="AR224" i="1"/>
  <c r="AS224" i="1" s="1"/>
  <c r="AT224" i="1" s="1"/>
  <c r="AU224" i="1" s="1"/>
  <c r="AV224" i="1" s="1"/>
  <c r="AR236" i="1"/>
  <c r="AS236" i="1" s="1"/>
  <c r="AT236" i="1" s="1"/>
  <c r="AR218" i="1"/>
  <c r="AS218" i="1" s="1"/>
  <c r="AT218" i="1" s="1"/>
  <c r="AU218" i="1" s="1"/>
  <c r="AV218" i="1" s="1"/>
  <c r="AR208" i="1"/>
  <c r="AS208" i="1" s="1"/>
  <c r="AO193" i="1"/>
  <c r="AO210" i="1"/>
  <c r="AO212" i="1" s="1"/>
  <c r="AQ193" i="1"/>
  <c r="AQ210" i="1"/>
  <c r="AQ212" i="1" s="1"/>
  <c r="AP193" i="1"/>
  <c r="AP210" i="1"/>
  <c r="AP212" i="1" s="1"/>
  <c r="AO58" i="1"/>
  <c r="AO59" i="1" s="1"/>
  <c r="AO190" i="1"/>
  <c r="AP58" i="1"/>
  <c r="AP59" i="1" s="1"/>
  <c r="AP190" i="1"/>
  <c r="AQ58" i="1"/>
  <c r="C8" i="20" s="1"/>
  <c r="AQ190" i="1"/>
  <c r="AN58" i="1"/>
  <c r="AN59" i="1" s="1"/>
  <c r="AN190" i="1"/>
  <c r="AN138" i="1"/>
  <c r="AN140" i="1" s="1"/>
  <c r="AQ138" i="1"/>
  <c r="AQ140" i="1" s="1"/>
  <c r="AO88" i="1"/>
  <c r="AO90" i="1" s="1"/>
  <c r="AO138" i="1"/>
  <c r="AO140" i="1" s="1"/>
  <c r="AP138" i="1"/>
  <c r="AP140" i="1" s="1"/>
  <c r="AS56" i="1"/>
  <c r="AS52" i="1"/>
  <c r="AT23" i="1"/>
  <c r="AT15" i="1" s="1"/>
  <c r="AS46" i="1"/>
  <c r="AS48" i="1"/>
  <c r="C34" i="14"/>
  <c r="AS44" i="1"/>
  <c r="F36" i="14"/>
  <c r="F39" i="14"/>
  <c r="M42" i="14"/>
  <c r="J42" i="14" s="1"/>
  <c r="O10" i="11"/>
  <c r="O11" i="11"/>
  <c r="O12" i="11"/>
  <c r="E32" i="11"/>
  <c r="L20" i="11"/>
  <c r="L21" i="11" s="1"/>
  <c r="L22" i="11" s="1"/>
  <c r="C34" i="11"/>
  <c r="D34" i="11"/>
  <c r="E34" i="11"/>
  <c r="D32" i="11"/>
  <c r="O18" i="11"/>
  <c r="F33" i="11"/>
  <c r="D33" i="11"/>
  <c r="E33" i="11"/>
  <c r="O17" i="11"/>
  <c r="C32" i="11"/>
  <c r="H14" i="11"/>
  <c r="S11" i="11" s="1"/>
  <c r="C31" i="11"/>
  <c r="E31" i="11"/>
  <c r="D31" i="11"/>
  <c r="F31" i="11"/>
  <c r="F32" i="11"/>
  <c r="O13" i="11"/>
  <c r="O15" i="11"/>
  <c r="O19" i="11"/>
  <c r="O16" i="11"/>
  <c r="D43" i="14"/>
  <c r="E43" i="14" s="1"/>
  <c r="F43" i="14" s="1"/>
  <c r="G43" i="14" s="1"/>
  <c r="H43" i="14" s="1"/>
  <c r="C44" i="14"/>
  <c r="C40" i="14"/>
  <c r="C41" i="14" s="1"/>
  <c r="C37" i="14"/>
  <c r="C38" i="14" s="1"/>
  <c r="AR18" i="1"/>
  <c r="W24" i="1"/>
  <c r="AA24" i="1" s="1"/>
  <c r="AE24" i="1" s="1"/>
  <c r="AI24" i="1" s="1"/>
  <c r="Y24" i="1"/>
  <c r="AC24" i="1" s="1"/>
  <c r="AG24" i="1" s="1"/>
  <c r="AK24" i="1" s="1"/>
  <c r="X24" i="1"/>
  <c r="AB24" i="1" s="1"/>
  <c r="AF24" i="1" s="1"/>
  <c r="AJ24" i="1" s="1"/>
  <c r="Z24" i="1"/>
  <c r="AD24" i="1" s="1"/>
  <c r="AH24" i="1" s="1"/>
  <c r="AL24" i="1" s="1"/>
  <c r="AH22" i="1"/>
  <c r="AL22" i="1" s="1"/>
  <c r="AG22" i="1"/>
  <c r="AK22" i="1" s="1"/>
  <c r="AA22" i="1"/>
  <c r="V23" i="1"/>
  <c r="Z23" i="1" s="1"/>
  <c r="AD23" i="1" s="1"/>
  <c r="AH23" i="1" s="1"/>
  <c r="AL23" i="1" s="1"/>
  <c r="S23" i="1"/>
  <c r="S15" i="1" s="1"/>
  <c r="T15" i="1"/>
  <c r="X23" i="1"/>
  <c r="AB23" i="1" s="1"/>
  <c r="AF23" i="1" s="1"/>
  <c r="AJ23" i="1" s="1"/>
  <c r="U15" i="1"/>
  <c r="Y23" i="1"/>
  <c r="AC23" i="1" s="1"/>
  <c r="AG23" i="1" s="1"/>
  <c r="AK23" i="1" s="1"/>
  <c r="M17" i="11"/>
  <c r="M14" i="11"/>
  <c r="M16" i="11"/>
  <c r="D55" i="11"/>
  <c r="D56" i="11"/>
  <c r="D60" i="11" s="1"/>
  <c r="H15" i="11"/>
  <c r="S12" i="11" s="1"/>
  <c r="E55" i="11"/>
  <c r="F57" i="11"/>
  <c r="E56" i="11"/>
  <c r="E60" i="11" s="1"/>
  <c r="G56" i="11"/>
  <c r="G60" i="11" s="1"/>
  <c r="D57" i="11"/>
  <c r="E57" i="11"/>
  <c r="H16" i="11"/>
  <c r="S13" i="11" s="1"/>
  <c r="H17" i="11"/>
  <c r="S14" i="11" s="1"/>
  <c r="F55" i="11"/>
  <c r="G55" i="11"/>
  <c r="F56" i="11"/>
  <c r="F60" i="11" s="1"/>
  <c r="G57" i="11"/>
  <c r="O5" i="20" l="1"/>
  <c r="I8" i="20"/>
  <c r="I9" i="20" s="1"/>
  <c r="C9" i="20"/>
  <c r="O8" i="20"/>
  <c r="E39" i="14"/>
  <c r="D41" i="14"/>
  <c r="E42" i="14"/>
  <c r="E41" i="14" s="1"/>
  <c r="C35" i="14"/>
  <c r="C53" i="14"/>
  <c r="C56" i="14" s="1"/>
  <c r="D39" i="14"/>
  <c r="D38" i="14" s="1"/>
  <c r="M39" i="14"/>
  <c r="J39" i="14" s="1"/>
  <c r="D36" i="14"/>
  <c r="M36" i="14"/>
  <c r="J36" i="14" s="1"/>
  <c r="AQ59" i="1"/>
  <c r="AQ60" i="1" s="1"/>
  <c r="C52" i="14"/>
  <c r="C54" i="14" s="1"/>
  <c r="C19" i="15"/>
  <c r="AU239" i="1"/>
  <c r="AO213" i="1"/>
  <c r="AU132" i="1"/>
  <c r="AU230" i="1"/>
  <c r="AS227" i="1"/>
  <c r="AU236" i="1"/>
  <c r="AT233" i="1"/>
  <c r="AQ213" i="1"/>
  <c r="C25" i="15" s="1"/>
  <c r="AR193" i="1"/>
  <c r="AS193" i="1" s="1"/>
  <c r="AT193" i="1" s="1"/>
  <c r="AU193" i="1" s="1"/>
  <c r="AV193" i="1" s="1"/>
  <c r="AP63" i="1"/>
  <c r="AP65" i="1" s="1"/>
  <c r="AP75" i="1" s="1"/>
  <c r="AP91" i="1" s="1"/>
  <c r="AP94" i="1" s="1"/>
  <c r="AN63" i="1"/>
  <c r="AN65" i="1" s="1"/>
  <c r="AN67" i="1" s="1"/>
  <c r="AP213" i="1"/>
  <c r="AN195" i="1"/>
  <c r="AN202" i="1"/>
  <c r="AT208" i="1"/>
  <c r="AO63" i="1"/>
  <c r="AO65" i="1" s="1"/>
  <c r="AO75" i="1" s="1"/>
  <c r="AO91" i="1" s="1"/>
  <c r="AO94" i="1" s="1"/>
  <c r="AQ195" i="1"/>
  <c r="AQ202" i="1"/>
  <c r="AO195" i="1"/>
  <c r="AO202" i="1"/>
  <c r="AT204" i="1"/>
  <c r="AP195" i="1"/>
  <c r="AP202" i="1"/>
  <c r="AU206" i="1"/>
  <c r="AQ63" i="1"/>
  <c r="AQ65" i="1" s="1"/>
  <c r="AT199" i="1"/>
  <c r="Y15" i="1"/>
  <c r="AT46" i="1"/>
  <c r="AT56" i="1"/>
  <c r="AT52" i="1"/>
  <c r="AV23" i="1"/>
  <c r="AV15" i="1" s="1"/>
  <c r="AU23" i="1"/>
  <c r="AU15" i="1" s="1"/>
  <c r="AT48" i="1"/>
  <c r="F35" i="11"/>
  <c r="D35" i="11"/>
  <c r="C35" i="11"/>
  <c r="E35" i="11"/>
  <c r="AT44" i="1"/>
  <c r="M18" i="11"/>
  <c r="M19" i="11" s="1"/>
  <c r="M20" i="11" s="1"/>
  <c r="M21" i="11" s="1"/>
  <c r="M22" i="11" s="1"/>
  <c r="M2" i="11"/>
  <c r="AE22" i="1"/>
  <c r="AI22" i="1" s="1"/>
  <c r="Z15" i="1"/>
  <c r="V15" i="1"/>
  <c r="X15" i="1"/>
  <c r="W23" i="1"/>
  <c r="AB15" i="1"/>
  <c r="AD15" i="1"/>
  <c r="AC15" i="1"/>
  <c r="N20" i="11"/>
  <c r="O20" i="11" s="1"/>
  <c r="D59" i="11"/>
  <c r="F59" i="11"/>
  <c r="E59" i="11"/>
  <c r="G59" i="11"/>
  <c r="O9" i="20" l="1"/>
  <c r="D35" i="14"/>
  <c r="E35" i="14" s="1"/>
  <c r="F35" i="14" s="1"/>
  <c r="G35" i="14" s="1"/>
  <c r="H35" i="14" s="1"/>
  <c r="E38" i="14"/>
  <c r="F38" i="14" s="1"/>
  <c r="G38" i="14" s="1"/>
  <c r="H38" i="14" s="1"/>
  <c r="C23" i="15"/>
  <c r="C20" i="15"/>
  <c r="C26" i="15"/>
  <c r="C27" i="15" s="1"/>
  <c r="AV239" i="1"/>
  <c r="AV132" i="1"/>
  <c r="AV230" i="1"/>
  <c r="AT227" i="1"/>
  <c r="AV236" i="1"/>
  <c r="AU233" i="1"/>
  <c r="AN75" i="1"/>
  <c r="AN91" i="1" s="1"/>
  <c r="AN94" i="1" s="1"/>
  <c r="AN68" i="1"/>
  <c r="AN93" i="1" s="1"/>
  <c r="AP67" i="1"/>
  <c r="AP68" i="1"/>
  <c r="AP93" i="1" s="1"/>
  <c r="AO67" i="1"/>
  <c r="AV206" i="1"/>
  <c r="AU208" i="1"/>
  <c r="AO68" i="1"/>
  <c r="AO93" i="1" s="1"/>
  <c r="AR202" i="1"/>
  <c r="AU204" i="1"/>
  <c r="AR195" i="1"/>
  <c r="AS195" i="1" s="1"/>
  <c r="AT195" i="1" s="1"/>
  <c r="AU195" i="1" s="1"/>
  <c r="AV195" i="1" s="1"/>
  <c r="AU199" i="1"/>
  <c r="AQ67" i="1"/>
  <c r="AQ68" i="1"/>
  <c r="AQ93" i="1" s="1"/>
  <c r="AQ75" i="1"/>
  <c r="AQ91" i="1" s="1"/>
  <c r="AQ94" i="1" s="1"/>
  <c r="AU56" i="1"/>
  <c r="AU46" i="1"/>
  <c r="AU52" i="1"/>
  <c r="AU48" i="1"/>
  <c r="AU44" i="1"/>
  <c r="F41" i="14"/>
  <c r="G18" i="11"/>
  <c r="G19" i="11"/>
  <c r="AA23" i="1"/>
  <c r="W15" i="1"/>
  <c r="AC17" i="1" s="1"/>
  <c r="AK15" i="1"/>
  <c r="AG15" i="1"/>
  <c r="AH15" i="1"/>
  <c r="AL15" i="1"/>
  <c r="AJ15" i="1"/>
  <c r="AF15" i="1"/>
  <c r="G20" i="11"/>
  <c r="N21" i="11"/>
  <c r="O21" i="11" s="1"/>
  <c r="G21" i="11"/>
  <c r="AU227" i="1" l="1"/>
  <c r="AV233" i="1"/>
  <c r="AV204" i="1"/>
  <c r="AS202" i="1"/>
  <c r="AV208" i="1"/>
  <c r="AV199" i="1"/>
  <c r="AV46" i="1"/>
  <c r="AV56" i="1"/>
  <c r="AV52" i="1"/>
  <c r="AV48" i="1"/>
  <c r="AV44" i="1"/>
  <c r="H19" i="11"/>
  <c r="AU10" i="1"/>
  <c r="H21" i="11"/>
  <c r="H20" i="11"/>
  <c r="AR10" i="1"/>
  <c r="AR13" i="1" s="1"/>
  <c r="AR19" i="1" s="1"/>
  <c r="AR20" i="1" s="1"/>
  <c r="AR38" i="1" s="1"/>
  <c r="H18" i="11"/>
  <c r="G41" i="14"/>
  <c r="C19" i="11"/>
  <c r="W10" i="1" s="1"/>
  <c r="AS10" i="1"/>
  <c r="E20" i="11"/>
  <c r="AC10" i="1" s="1"/>
  <c r="AT10" i="1"/>
  <c r="C20" i="11"/>
  <c r="AA10" i="1" s="1"/>
  <c r="D20" i="11"/>
  <c r="AB10" i="1" s="1"/>
  <c r="F19" i="11"/>
  <c r="Z10" i="1" s="1"/>
  <c r="E19" i="11"/>
  <c r="Y10" i="1" s="1"/>
  <c r="D19" i="11"/>
  <c r="X10" i="1" s="1"/>
  <c r="AF17" i="1"/>
  <c r="AB17" i="1"/>
  <c r="AE23" i="1"/>
  <c r="AA15" i="1"/>
  <c r="AA17" i="1" s="1"/>
  <c r="AD17" i="1" s="1"/>
  <c r="AG17" i="1" s="1"/>
  <c r="AJ17" i="1" s="1"/>
  <c r="F20" i="11"/>
  <c r="AD10" i="1" s="1"/>
  <c r="G22" i="11"/>
  <c r="N22" i="11"/>
  <c r="O22" i="11" s="1"/>
  <c r="C21" i="11"/>
  <c r="AE10" i="1" s="1"/>
  <c r="F21" i="11"/>
  <c r="AH10" i="1" s="1"/>
  <c r="D21" i="11"/>
  <c r="AF10" i="1" s="1"/>
  <c r="E21" i="11"/>
  <c r="AG10" i="1" s="1"/>
  <c r="D18" i="11"/>
  <c r="T10" i="1" s="1"/>
  <c r="E18" i="11"/>
  <c r="U10" i="1" s="1"/>
  <c r="F18" i="11"/>
  <c r="V10" i="1" s="1"/>
  <c r="C18" i="11"/>
  <c r="S10" i="1" s="1"/>
  <c r="D5" i="20" l="1"/>
  <c r="D25" i="14"/>
  <c r="AR189" i="1"/>
  <c r="AR238" i="1" s="1"/>
  <c r="AR133" i="1" s="1"/>
  <c r="D16" i="15"/>
  <c r="D17" i="15" s="1"/>
  <c r="AR151" i="1"/>
  <c r="AR226" i="1"/>
  <c r="AV227" i="1"/>
  <c r="AR223" i="1"/>
  <c r="AR232" i="1"/>
  <c r="AT202" i="1"/>
  <c r="AR61" i="1"/>
  <c r="AR53" i="1"/>
  <c r="AR55" i="1"/>
  <c r="AR45" i="1"/>
  <c r="AR49" i="1"/>
  <c r="AR51" i="1"/>
  <c r="D22" i="15" s="1"/>
  <c r="AR43" i="1"/>
  <c r="AR47" i="1"/>
  <c r="D27" i="14"/>
  <c r="D37" i="14" s="1"/>
  <c r="AR17" i="1"/>
  <c r="AS13" i="1"/>
  <c r="AT13" i="1" s="1"/>
  <c r="AV10" i="1"/>
  <c r="H22" i="11"/>
  <c r="H41" i="14"/>
  <c r="AR39" i="1"/>
  <c r="AR37" i="1"/>
  <c r="AR36" i="1"/>
  <c r="S13" i="1"/>
  <c r="T18" i="1" s="1"/>
  <c r="S18" i="1"/>
  <c r="AI23" i="1"/>
  <c r="AI15" i="1" s="1"/>
  <c r="AI17" i="1" s="1"/>
  <c r="AL17" i="1" s="1"/>
  <c r="AE15" i="1"/>
  <c r="AE17" i="1" s="1"/>
  <c r="AH17" i="1" s="1"/>
  <c r="AK17" i="1" s="1"/>
  <c r="D22" i="11"/>
  <c r="AJ10" i="1" s="1"/>
  <c r="F22" i="11"/>
  <c r="AL10" i="1" s="1"/>
  <c r="C22" i="11"/>
  <c r="AI10" i="1" s="1"/>
  <c r="E22" i="11"/>
  <c r="AK10" i="1" s="1"/>
  <c r="AR196" i="1" l="1"/>
  <c r="AR104" i="1" s="1"/>
  <c r="AR192" i="1"/>
  <c r="AR154" i="1" s="1"/>
  <c r="AR207" i="1"/>
  <c r="AR121" i="1" s="1"/>
  <c r="AR162" i="1" s="1"/>
  <c r="AR205" i="1"/>
  <c r="AR120" i="1" s="1"/>
  <c r="AR161" i="1" s="1"/>
  <c r="AR198" i="1"/>
  <c r="AR105" i="1" s="1"/>
  <c r="AR158" i="1" s="1"/>
  <c r="AR203" i="1"/>
  <c r="AR119" i="1" s="1"/>
  <c r="AR160" i="1" s="1"/>
  <c r="AR229" i="1"/>
  <c r="AR217" i="1"/>
  <c r="AR168" i="1" s="1"/>
  <c r="AR172" i="1" s="1"/>
  <c r="AR220" i="1"/>
  <c r="AR147" i="1" s="1"/>
  <c r="D6" i="20"/>
  <c r="P6" i="20" s="1"/>
  <c r="P5" i="20"/>
  <c r="AR102" i="1"/>
  <c r="AR235" i="1"/>
  <c r="AU202" i="1"/>
  <c r="S38" i="1"/>
  <c r="D34" i="14"/>
  <c r="AS19" i="1"/>
  <c r="D40" i="14"/>
  <c r="E27" i="14"/>
  <c r="E34" i="14" s="1"/>
  <c r="AS18" i="1"/>
  <c r="F27" i="14"/>
  <c r="S30" i="1"/>
  <c r="T13" i="1"/>
  <c r="U18" i="1" s="1"/>
  <c r="AU13" i="1"/>
  <c r="AR156" i="1" l="1"/>
  <c r="D24" i="15"/>
  <c r="AR109" i="1"/>
  <c r="AV202" i="1"/>
  <c r="E37" i="14"/>
  <c r="E40" i="14"/>
  <c r="D31" i="14"/>
  <c r="D29" i="14" s="1"/>
  <c r="AR41" i="1" s="1"/>
  <c r="AR57" i="1" s="1"/>
  <c r="AS20" i="1"/>
  <c r="AS38" i="1" s="1"/>
  <c r="F34" i="14"/>
  <c r="F40" i="14"/>
  <c r="F37" i="14"/>
  <c r="T38" i="1"/>
  <c r="T39" i="1" s="1"/>
  <c r="U13" i="1"/>
  <c r="V18" i="1" s="1"/>
  <c r="G27" i="14"/>
  <c r="AV13" i="1"/>
  <c r="AX13" i="1" s="1"/>
  <c r="E5" i="20" l="1"/>
  <c r="E25" i="14"/>
  <c r="AS189" i="1"/>
  <c r="AS238" i="1" s="1"/>
  <c r="AS133" i="1" s="1"/>
  <c r="E16" i="15"/>
  <c r="E17" i="15" s="1"/>
  <c r="AS151" i="1"/>
  <c r="AS226" i="1"/>
  <c r="AS223" i="1"/>
  <c r="AS232" i="1"/>
  <c r="AS198" i="1"/>
  <c r="AS105" i="1" s="1"/>
  <c r="AR58" i="1"/>
  <c r="D8" i="20" s="1"/>
  <c r="AR190" i="1"/>
  <c r="AS61" i="1"/>
  <c r="E31" i="14"/>
  <c r="E29" i="14" s="1"/>
  <c r="AS41" i="1" s="1"/>
  <c r="AS42" i="1" s="1"/>
  <c r="AR42" i="1"/>
  <c r="AS36" i="1"/>
  <c r="AS47" i="1"/>
  <c r="AS17" i="1"/>
  <c r="AT19" i="1" s="1"/>
  <c r="AS53" i="1"/>
  <c r="AS45" i="1"/>
  <c r="AS55" i="1"/>
  <c r="AS39" i="1"/>
  <c r="AS43" i="1"/>
  <c r="AS49" i="1"/>
  <c r="AS51" i="1"/>
  <c r="E22" i="15" s="1"/>
  <c r="F31" i="14"/>
  <c r="F29" i="14" s="1"/>
  <c r="AT41" i="1" s="1"/>
  <c r="AS37" i="1"/>
  <c r="T37" i="1"/>
  <c r="T36" i="1"/>
  <c r="T243" i="1"/>
  <c r="G34" i="14"/>
  <c r="G37" i="14"/>
  <c r="G40" i="14"/>
  <c r="V13" i="1"/>
  <c r="U38" i="1"/>
  <c r="U39" i="1" s="1"/>
  <c r="H27" i="14"/>
  <c r="AS229" i="1" l="1"/>
  <c r="AS196" i="1"/>
  <c r="AS104" i="1" s="1"/>
  <c r="AS192" i="1"/>
  <c r="AS102" i="1" s="1"/>
  <c r="AS207" i="1"/>
  <c r="AS121" i="1" s="1"/>
  <c r="AS162" i="1" s="1"/>
  <c r="AS203" i="1"/>
  <c r="AS119" i="1" s="1"/>
  <c r="AS160" i="1" s="1"/>
  <c r="AS205" i="1"/>
  <c r="AS120" i="1" s="1"/>
  <c r="AS161" i="1" s="1"/>
  <c r="AS220" i="1"/>
  <c r="AS147" i="1" s="1"/>
  <c r="AS217" i="1"/>
  <c r="AS168" i="1" s="1"/>
  <c r="Q5" i="20"/>
  <c r="E6" i="20"/>
  <c r="Q6" i="20" s="1"/>
  <c r="D9" i="20"/>
  <c r="P9" i="20" s="1"/>
  <c r="P8" i="20"/>
  <c r="AR63" i="1"/>
  <c r="AR64" i="1" s="1"/>
  <c r="AR65" i="1" s="1"/>
  <c r="AR75" i="1" s="1"/>
  <c r="AR91" i="1" s="1"/>
  <c r="AR94" i="1" s="1"/>
  <c r="D52" i="14"/>
  <c r="D54" i="14" s="1"/>
  <c r="D19" i="15"/>
  <c r="AS158" i="1"/>
  <c r="AS235" i="1"/>
  <c r="AS109" i="1"/>
  <c r="AS156" i="1"/>
  <c r="AR194" i="1"/>
  <c r="AR201" i="1"/>
  <c r="AR59" i="1"/>
  <c r="AT18" i="1"/>
  <c r="AT20" i="1" s="1"/>
  <c r="AT38" i="1" s="1"/>
  <c r="AS57" i="1"/>
  <c r="G31" i="14"/>
  <c r="G29" i="14" s="1"/>
  <c r="AU41" i="1" s="1"/>
  <c r="H34" i="14"/>
  <c r="H37" i="14"/>
  <c r="H40" i="14"/>
  <c r="U37" i="1"/>
  <c r="V38" i="1"/>
  <c r="V39" i="1" s="1"/>
  <c r="U36" i="1"/>
  <c r="U243" i="1"/>
  <c r="W13" i="1"/>
  <c r="W38" i="1" s="1"/>
  <c r="E24" i="15" l="1"/>
  <c r="AS154" i="1"/>
  <c r="F25" i="14"/>
  <c r="F5" i="20"/>
  <c r="AR145" i="1"/>
  <c r="AT189" i="1"/>
  <c r="AT238" i="1" s="1"/>
  <c r="F16" i="15"/>
  <c r="F17" i="15" s="1"/>
  <c r="D20" i="15"/>
  <c r="D23" i="15"/>
  <c r="AR136" i="1"/>
  <c r="AR137" i="1" s="1"/>
  <c r="AR67" i="1"/>
  <c r="AR68" i="1"/>
  <c r="AR93" i="1" s="1"/>
  <c r="AR118" i="1"/>
  <c r="AR159" i="1" s="1"/>
  <c r="AR103" i="1"/>
  <c r="AR155" i="1"/>
  <c r="AT229" i="1"/>
  <c r="AR211" i="1"/>
  <c r="AS172" i="1"/>
  <c r="AT223" i="1"/>
  <c r="AT232" i="1"/>
  <c r="AR210" i="1"/>
  <c r="AS58" i="1"/>
  <c r="AS190" i="1"/>
  <c r="AT61" i="1"/>
  <c r="AT53" i="1"/>
  <c r="AT55" i="1"/>
  <c r="AT45" i="1"/>
  <c r="AT49" i="1"/>
  <c r="AT51" i="1"/>
  <c r="F22" i="15" s="1"/>
  <c r="AT43" i="1"/>
  <c r="AT47" i="1"/>
  <c r="AT42" i="1"/>
  <c r="X13" i="1"/>
  <c r="X38" i="1" s="1"/>
  <c r="X39" i="1" s="1"/>
  <c r="V243" i="1"/>
  <c r="V37" i="1"/>
  <c r="V36" i="1"/>
  <c r="H31" i="14"/>
  <c r="H29" i="14" s="1"/>
  <c r="AV41" i="1" s="1"/>
  <c r="AX41" i="1" s="1"/>
  <c r="AT37" i="1"/>
  <c r="AT39" i="1"/>
  <c r="AT17" i="1"/>
  <c r="AU19" i="1" s="1"/>
  <c r="AT36" i="1"/>
  <c r="W37" i="1"/>
  <c r="W36" i="1"/>
  <c r="AT151" i="1" l="1"/>
  <c r="AT133" i="1"/>
  <c r="AT196" i="1"/>
  <c r="AT104" i="1" s="1"/>
  <c r="AT203" i="1"/>
  <c r="AT119" i="1" s="1"/>
  <c r="AT160" i="1" s="1"/>
  <c r="AT207" i="1"/>
  <c r="AT121" i="1" s="1"/>
  <c r="AT162" i="1" s="1"/>
  <c r="AT205" i="1"/>
  <c r="AT120" i="1" s="1"/>
  <c r="AT161" i="1" s="1"/>
  <c r="AT192" i="1"/>
  <c r="AT102" i="1" s="1"/>
  <c r="AT198" i="1"/>
  <c r="AT105" i="1" s="1"/>
  <c r="AT220" i="1"/>
  <c r="AT147" i="1" s="1"/>
  <c r="F6" i="20"/>
  <c r="R6" i="20" s="1"/>
  <c r="R5" i="20"/>
  <c r="AT217" i="1"/>
  <c r="F24" i="15" s="1"/>
  <c r="D3" i="21"/>
  <c r="E8" i="20"/>
  <c r="AT226" i="1"/>
  <c r="AS59" i="1"/>
  <c r="E52" i="14"/>
  <c r="E54" i="14" s="1"/>
  <c r="E19" i="15"/>
  <c r="AR212" i="1"/>
  <c r="AR213" i="1" s="1"/>
  <c r="D25" i="15" s="1"/>
  <c r="D26" i="15" s="1"/>
  <c r="D27" i="15" s="1"/>
  <c r="D31" i="15" s="1"/>
  <c r="AT158" i="1"/>
  <c r="AR123" i="1"/>
  <c r="AR128" i="1" s="1"/>
  <c r="AR138" i="1" s="1"/>
  <c r="AR166" i="1"/>
  <c r="AR180" i="1" s="1"/>
  <c r="AR182" i="1" s="1"/>
  <c r="AS181" i="1" s="1"/>
  <c r="AT235" i="1"/>
  <c r="AT156" i="1"/>
  <c r="AS63" i="1"/>
  <c r="AS64" i="1" s="1"/>
  <c r="AS65" i="1" s="1"/>
  <c r="AS194" i="1"/>
  <c r="AS103" i="1" s="1"/>
  <c r="AS201" i="1"/>
  <c r="Y13" i="1"/>
  <c r="Y38" i="1" s="1"/>
  <c r="Y39" i="1" s="1"/>
  <c r="AT57" i="1"/>
  <c r="AU18" i="1"/>
  <c r="X36" i="1"/>
  <c r="X37" i="1"/>
  <c r="AT154" i="1" l="1"/>
  <c r="AT168" i="1"/>
  <c r="AT109" i="1"/>
  <c r="E9" i="20"/>
  <c r="Q9" i="20" s="1"/>
  <c r="Q8" i="20"/>
  <c r="D12" i="21"/>
  <c r="D19" i="21" s="1"/>
  <c r="D26" i="21" s="1"/>
  <c r="D13" i="21"/>
  <c r="D20" i="21" s="1"/>
  <c r="D27" i="21" s="1"/>
  <c r="D11" i="21"/>
  <c r="D18" i="21" s="1"/>
  <c r="D25" i="21" s="1"/>
  <c r="E23" i="15"/>
  <c r="E20" i="15"/>
  <c r="AS136" i="1"/>
  <c r="AS137" i="1" s="1"/>
  <c r="AS68" i="1"/>
  <c r="AS93" i="1" s="1"/>
  <c r="AS67" i="1"/>
  <c r="AR101" i="1"/>
  <c r="AR107" i="1" s="1"/>
  <c r="AR115" i="1" s="1"/>
  <c r="AR140" i="1" s="1"/>
  <c r="AS211" i="1"/>
  <c r="AS118" i="1"/>
  <c r="AT172" i="1"/>
  <c r="AS210" i="1"/>
  <c r="AS155" i="1"/>
  <c r="AS75" i="1"/>
  <c r="AS91" i="1" s="1"/>
  <c r="AS94" i="1" s="1"/>
  <c r="AS145" i="1"/>
  <c r="AT58" i="1"/>
  <c r="AT190" i="1"/>
  <c r="Z13" i="1"/>
  <c r="Z38" i="1" s="1"/>
  <c r="Z37" i="1" s="1"/>
  <c r="AU20" i="1"/>
  <c r="AU38" i="1" s="1"/>
  <c r="G25" i="14" s="1"/>
  <c r="Y37" i="1"/>
  <c r="Y36" i="1"/>
  <c r="D30" i="21" l="1"/>
  <c r="D33" i="21" s="1"/>
  <c r="F8" i="20"/>
  <c r="E3" i="21"/>
  <c r="AU189" i="1"/>
  <c r="AU238" i="1" s="1"/>
  <c r="G16" i="15"/>
  <c r="G17" i="15" s="1"/>
  <c r="AT59" i="1"/>
  <c r="F52" i="14"/>
  <c r="F54" i="14" s="1"/>
  <c r="F19" i="15"/>
  <c r="AS123" i="1"/>
  <c r="AS128" i="1" s="1"/>
  <c r="AS138" i="1" s="1"/>
  <c r="AS159" i="1"/>
  <c r="AS166" i="1" s="1"/>
  <c r="AS180" i="1" s="1"/>
  <c r="AS182" i="1" s="1"/>
  <c r="AT181" i="1" s="1"/>
  <c r="AS212" i="1"/>
  <c r="AS213" i="1" s="1"/>
  <c r="E25" i="15" s="1"/>
  <c r="E26" i="15" s="1"/>
  <c r="E27" i="15" s="1"/>
  <c r="E31" i="15" s="1"/>
  <c r="AT194" i="1"/>
  <c r="AT103" i="1" s="1"/>
  <c r="AT201" i="1"/>
  <c r="AT63" i="1"/>
  <c r="AT64" i="1" s="1"/>
  <c r="AT65" i="1" s="1"/>
  <c r="AU196" i="1"/>
  <c r="AU104" i="1" s="1"/>
  <c r="AU61" i="1"/>
  <c r="AA13" i="1"/>
  <c r="AA38" i="1" s="1"/>
  <c r="AA39" i="1" s="1"/>
  <c r="AU53" i="1"/>
  <c r="AU45" i="1"/>
  <c r="AU55" i="1"/>
  <c r="AU49" i="1"/>
  <c r="AU51" i="1"/>
  <c r="G22" i="15" s="1"/>
  <c r="AU43" i="1"/>
  <c r="AU47" i="1"/>
  <c r="Z39" i="1"/>
  <c r="AU17" i="1"/>
  <c r="AV19" i="1" s="1"/>
  <c r="AU42" i="1"/>
  <c r="AU36" i="1"/>
  <c r="AU37" i="1"/>
  <c r="AU39" i="1"/>
  <c r="Z36" i="1"/>
  <c r="AU151" i="1" l="1"/>
  <c r="AU133" i="1"/>
  <c r="AU217" i="1"/>
  <c r="AU168" i="1" s="1"/>
  <c r="AU226" i="1"/>
  <c r="AU229" i="1"/>
  <c r="AU220" i="1"/>
  <c r="AU147" i="1" s="1"/>
  <c r="AU192" i="1"/>
  <c r="AU102" i="1" s="1"/>
  <c r="AU232" i="1"/>
  <c r="AU235" i="1" s="1"/>
  <c r="AU172" i="1" s="1"/>
  <c r="AU223" i="1"/>
  <c r="AU207" i="1"/>
  <c r="AU121" i="1" s="1"/>
  <c r="AU162" i="1" s="1"/>
  <c r="AU205" i="1"/>
  <c r="AU120" i="1" s="1"/>
  <c r="AU161" i="1" s="1"/>
  <c r="AU203" i="1"/>
  <c r="AU119" i="1" s="1"/>
  <c r="AU160" i="1" s="1"/>
  <c r="AU198" i="1"/>
  <c r="AU105" i="1" s="1"/>
  <c r="AU158" i="1" s="1"/>
  <c r="E11" i="21"/>
  <c r="E18" i="21" s="1"/>
  <c r="E25" i="21" s="1"/>
  <c r="E13" i="21"/>
  <c r="E20" i="21" s="1"/>
  <c r="E27" i="21" s="1"/>
  <c r="E12" i="21"/>
  <c r="E19" i="21" s="1"/>
  <c r="E26" i="21" s="1"/>
  <c r="F9" i="20"/>
  <c r="R9" i="20" s="1"/>
  <c r="R8" i="20"/>
  <c r="C36" i="21"/>
  <c r="C35" i="21"/>
  <c r="AT136" i="1"/>
  <c r="AT137" i="1" s="1"/>
  <c r="AT67" i="1"/>
  <c r="AT68" i="1"/>
  <c r="AT93" i="1" s="1"/>
  <c r="F20" i="15"/>
  <c r="F23" i="15"/>
  <c r="AS101" i="1"/>
  <c r="AS107" i="1" s="1"/>
  <c r="AS115" i="1" s="1"/>
  <c r="AS140" i="1" s="1"/>
  <c r="AT211" i="1"/>
  <c r="AT118" i="1"/>
  <c r="AT210" i="1"/>
  <c r="AT155" i="1"/>
  <c r="AU156" i="1"/>
  <c r="AT75" i="1"/>
  <c r="AT91" i="1" s="1"/>
  <c r="AT94" i="1" s="1"/>
  <c r="AT145" i="1"/>
  <c r="AB13" i="1"/>
  <c r="AB38" i="1" s="1"/>
  <c r="AB39" i="1" s="1"/>
  <c r="AU57" i="1"/>
  <c r="AV18" i="1"/>
  <c r="AV20" i="1" s="1"/>
  <c r="AV38" i="1" s="1"/>
  <c r="H25" i="14" s="1"/>
  <c r="AA37" i="1"/>
  <c r="AA36" i="1"/>
  <c r="AU154" i="1" l="1"/>
  <c r="G24" i="15"/>
  <c r="E30" i="21"/>
  <c r="E39" i="21" s="1"/>
  <c r="AU109" i="1"/>
  <c r="AT212" i="1"/>
  <c r="AT213" i="1" s="1"/>
  <c r="F25" i="15" s="1"/>
  <c r="F26" i="15" s="1"/>
  <c r="F27" i="15" s="1"/>
  <c r="F31" i="15" s="1"/>
  <c r="AV189" i="1"/>
  <c r="AV238" i="1" s="1"/>
  <c r="AV151" i="1" s="1"/>
  <c r="H16" i="15"/>
  <c r="AT123" i="1"/>
  <c r="AT128" i="1" s="1"/>
  <c r="AT138" i="1" s="1"/>
  <c r="AT159" i="1"/>
  <c r="AT166" i="1" s="1"/>
  <c r="AT180" i="1" s="1"/>
  <c r="AT182" i="1" s="1"/>
  <c r="AU181" i="1" s="1"/>
  <c r="AU58" i="1"/>
  <c r="AU190" i="1"/>
  <c r="AV61" i="1"/>
  <c r="AX61" i="1" s="1"/>
  <c r="AC13" i="1"/>
  <c r="AC38" i="1" s="1"/>
  <c r="AC39" i="1" s="1"/>
  <c r="AV53" i="1"/>
  <c r="AX53" i="1" s="1"/>
  <c r="AX38" i="1"/>
  <c r="AV55" i="1"/>
  <c r="AX55" i="1" s="1"/>
  <c r="AV45" i="1"/>
  <c r="AX45" i="1" s="1"/>
  <c r="AV49" i="1"/>
  <c r="AX49" i="1" s="1"/>
  <c r="AV51" i="1"/>
  <c r="AV43" i="1"/>
  <c r="AX43" i="1" s="1"/>
  <c r="AV47" i="1"/>
  <c r="AX47" i="1" s="1"/>
  <c r="AV36" i="1"/>
  <c r="AX36" i="1" s="1"/>
  <c r="AV17" i="1"/>
  <c r="AV37" i="1"/>
  <c r="AX37" i="1" s="1"/>
  <c r="AV39" i="1"/>
  <c r="AV42" i="1"/>
  <c r="AB37" i="1"/>
  <c r="AB36" i="1"/>
  <c r="AV196" i="1" l="1"/>
  <c r="AV192" i="1"/>
  <c r="AV102" i="1" s="1"/>
  <c r="AV229" i="1"/>
  <c r="AV133" i="1"/>
  <c r="AV226" i="1"/>
  <c r="AV207" i="1"/>
  <c r="AV121" i="1" s="1"/>
  <c r="AV162" i="1" s="1"/>
  <c r="AV205" i="1"/>
  <c r="AV120" i="1" s="1"/>
  <c r="AV161" i="1" s="1"/>
  <c r="AV220" i="1"/>
  <c r="AV147" i="1" s="1"/>
  <c r="AV198" i="1"/>
  <c r="AV105" i="1" s="1"/>
  <c r="AV158" i="1" s="1"/>
  <c r="AV203" i="1"/>
  <c r="AV119" i="1" s="1"/>
  <c r="AV160" i="1" s="1"/>
  <c r="AV217" i="1"/>
  <c r="AV223" i="1"/>
  <c r="C42" i="21"/>
  <c r="C41" i="21"/>
  <c r="AV232" i="1"/>
  <c r="AU63" i="1"/>
  <c r="AU64" i="1" s="1"/>
  <c r="AU65" i="1" s="1"/>
  <c r="AU145" i="1" s="1"/>
  <c r="G52" i="14"/>
  <c r="G54" i="14" s="1"/>
  <c r="G19" i="15"/>
  <c r="AX51" i="1"/>
  <c r="H22" i="15"/>
  <c r="I22" i="15" s="1"/>
  <c r="I16" i="15"/>
  <c r="H17" i="15"/>
  <c r="AV168" i="1"/>
  <c r="H24" i="15"/>
  <c r="I24" i="15" s="1"/>
  <c r="AT101" i="1"/>
  <c r="AT107" i="1" s="1"/>
  <c r="AT115" i="1" s="1"/>
  <c r="AT140" i="1" s="1"/>
  <c r="AV235" i="1"/>
  <c r="AV156" i="1"/>
  <c r="AV104" i="1"/>
  <c r="AV154" i="1"/>
  <c r="AU194" i="1"/>
  <c r="AU103" i="1" s="1"/>
  <c r="AU201" i="1"/>
  <c r="AU59" i="1"/>
  <c r="AD13" i="1"/>
  <c r="AE13" i="1" s="1"/>
  <c r="AV57" i="1"/>
  <c r="AV190" i="1" s="1"/>
  <c r="AC37" i="1"/>
  <c r="AC36" i="1"/>
  <c r="AV109" i="1" l="1"/>
  <c r="AD38" i="1"/>
  <c r="AD39" i="1" s="1"/>
  <c r="AU75" i="1"/>
  <c r="AU91" i="1" s="1"/>
  <c r="AU94" i="1" s="1"/>
  <c r="G23" i="15"/>
  <c r="G20" i="15"/>
  <c r="AU136" i="1"/>
  <c r="AU137" i="1" s="1"/>
  <c r="AU68" i="1"/>
  <c r="AU93" i="1" s="1"/>
  <c r="AU67" i="1"/>
  <c r="AU211" i="1"/>
  <c r="AU118" i="1"/>
  <c r="AV172" i="1"/>
  <c r="AU210" i="1"/>
  <c r="AU155" i="1"/>
  <c r="AV194" i="1"/>
  <c r="AV201" i="1"/>
  <c r="AX57" i="1"/>
  <c r="AV58" i="1"/>
  <c r="AE38" i="1"/>
  <c r="AE39" i="1" s="1"/>
  <c r="AF13" i="1"/>
  <c r="AF38" i="1" s="1"/>
  <c r="AD37" i="1" l="1"/>
  <c r="AD36" i="1"/>
  <c r="AV59" i="1"/>
  <c r="H52" i="14"/>
  <c r="H54" i="14" s="1"/>
  <c r="H19" i="15"/>
  <c r="AU212" i="1"/>
  <c r="AU213" i="1" s="1"/>
  <c r="G25" i="15" s="1"/>
  <c r="G26" i="15" s="1"/>
  <c r="G27" i="15" s="1"/>
  <c r="G31" i="15" s="1"/>
  <c r="AU123" i="1"/>
  <c r="AU128" i="1" s="1"/>
  <c r="AU138" i="1" s="1"/>
  <c r="AU159" i="1"/>
  <c r="AU166" i="1" s="1"/>
  <c r="AU180" i="1" s="1"/>
  <c r="AU182" i="1" s="1"/>
  <c r="AV181" i="1" s="1"/>
  <c r="AV211" i="1"/>
  <c r="AV118" i="1"/>
  <c r="AV210" i="1"/>
  <c r="AV103" i="1"/>
  <c r="AV155" i="1"/>
  <c r="AV63" i="1"/>
  <c r="AX58" i="1"/>
  <c r="AE36" i="1"/>
  <c r="AE37" i="1"/>
  <c r="AG13" i="1"/>
  <c r="AG38" i="1" s="1"/>
  <c r="AF39" i="1"/>
  <c r="I19" i="15" l="1"/>
  <c r="H23" i="15"/>
  <c r="I23" i="15" s="1"/>
  <c r="H20" i="15"/>
  <c r="AV212" i="1"/>
  <c r="AV213" i="1" s="1"/>
  <c r="H25" i="15" s="1"/>
  <c r="I25" i="15" s="1"/>
  <c r="AU101" i="1"/>
  <c r="AU107" i="1" s="1"/>
  <c r="AU115" i="1" s="1"/>
  <c r="AU140" i="1" s="1"/>
  <c r="AV123" i="1"/>
  <c r="AV128" i="1" s="1"/>
  <c r="AV159" i="1"/>
  <c r="AV64" i="1"/>
  <c r="AV65" i="1" s="1"/>
  <c r="AX63" i="1"/>
  <c r="AF36" i="1"/>
  <c r="AF37" i="1"/>
  <c r="AH13" i="1"/>
  <c r="AH38" i="1" s="1"/>
  <c r="AG39" i="1"/>
  <c r="AV68" i="1" l="1"/>
  <c r="AV93" i="1" s="1"/>
  <c r="AV67" i="1"/>
  <c r="H26" i="15"/>
  <c r="H27" i="15" s="1"/>
  <c r="H31" i="15" s="1"/>
  <c r="D42" i="15" s="1"/>
  <c r="I26" i="15"/>
  <c r="D57" i="15"/>
  <c r="I20" i="15"/>
  <c r="AV145" i="1"/>
  <c r="AV166" i="1" s="1"/>
  <c r="AV180" i="1" s="1"/>
  <c r="AV182" i="1" s="1"/>
  <c r="AV101" i="1" s="1"/>
  <c r="AV107" i="1" s="1"/>
  <c r="AV115" i="1" s="1"/>
  <c r="AV136" i="1"/>
  <c r="AV137" i="1" s="1"/>
  <c r="AV138" i="1" s="1"/>
  <c r="AV140" i="1" s="1"/>
  <c r="AX65" i="1"/>
  <c r="AV75" i="1"/>
  <c r="AV91" i="1" s="1"/>
  <c r="AV94" i="1" s="1"/>
  <c r="AG37" i="1"/>
  <c r="AG36" i="1"/>
  <c r="AI13" i="1"/>
  <c r="AH39" i="1"/>
  <c r="I27" i="15" l="1"/>
  <c r="I31" i="15" s="1"/>
  <c r="D39" i="15"/>
  <c r="D40" i="15" s="1"/>
  <c r="AI38" i="1"/>
  <c r="AI39" i="1" s="1"/>
  <c r="AH36" i="1"/>
  <c r="AH37" i="1"/>
  <c r="AJ13" i="1"/>
  <c r="D43" i="15" l="1"/>
  <c r="D44" i="15" s="1"/>
  <c r="D47" i="15" s="1"/>
  <c r="D50" i="15" s="1"/>
  <c r="D56" i="15"/>
  <c r="D58" i="15" s="1"/>
  <c r="AJ38" i="1"/>
  <c r="AJ39" i="1" s="1"/>
  <c r="AI36" i="1"/>
  <c r="AI37" i="1"/>
  <c r="AK13" i="1"/>
  <c r="C68" i="15" l="1"/>
  <c r="D53" i="15"/>
  <c r="AK38" i="1"/>
  <c r="AK39" i="1" s="1"/>
  <c r="AJ36" i="1"/>
  <c r="AJ37" i="1"/>
  <c r="AL13" i="1"/>
  <c r="AL38" i="1" l="1"/>
  <c r="AL39" i="1" s="1"/>
  <c r="AK37" i="1"/>
  <c r="AK36" i="1"/>
  <c r="S36" i="1"/>
  <c r="S37" i="1"/>
  <c r="S39" i="1"/>
  <c r="W39" i="1"/>
  <c r="S243" i="1"/>
  <c r="AL37" i="1" l="1"/>
  <c r="AL3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AR10" authorId="0" shapeId="0" xr:uid="{D2DE7316-6FF1-4E00-B29E-886906934A6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Guide: 2025 - 315 to 330 restaurants forecasted</t>
        </r>
      </text>
    </comment>
    <comment ref="AR11" authorId="0" shapeId="0" xr:uid="{C6F1ABF3-DB88-4BA6-BE6D-20736D8DCD4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average</t>
        </r>
      </text>
    </comment>
    <comment ref="AS11" authorId="0" shapeId="0" xr:uid="{E795107B-B6A6-40EE-8B60-A6913CE8C6F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average</t>
        </r>
      </text>
    </comment>
    <comment ref="AT11" authorId="0" shapeId="0" xr:uid="{A6FCC56D-B2A4-4249-A454-7B0806B0358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average</t>
        </r>
      </text>
    </comment>
    <comment ref="AU11" authorId="0" shapeId="0" xr:uid="{D7047AD3-FCC2-4E26-84D8-727ECC1D92E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average</t>
        </r>
      </text>
    </comment>
    <comment ref="AV11" authorId="0" shapeId="0" xr:uid="{523C8FA3-FF5C-4729-999D-4471589521B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average</t>
        </r>
      </text>
    </comment>
    <comment ref="AR12" authorId="0" shapeId="0" xr:uid="{0EA53350-5ED7-459D-87B5-D3B36CC700E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average</t>
        </r>
      </text>
    </comment>
    <comment ref="AS12" authorId="0" shapeId="0" xr:uid="{2BC7189B-58F8-4BE6-AFEA-9B0D1C0ECE0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average</t>
        </r>
      </text>
    </comment>
    <comment ref="AT12" authorId="0" shapeId="0" xr:uid="{70973670-EC78-4A48-80B5-9E38E0BED72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average</t>
        </r>
      </text>
    </comment>
    <comment ref="AU12" authorId="0" shapeId="0" xr:uid="{D5CC35BD-5A63-4DBE-B619-D77D1767B5F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average</t>
        </r>
      </text>
    </comment>
    <comment ref="AV12" authorId="0" shapeId="0" xr:uid="{F8012646-93FF-44D8-847F-4898C62EDBC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average</t>
        </r>
      </text>
    </comment>
    <comment ref="AR15" authorId="0" shapeId="0" xr:uid="{CAF081AF-554A-4704-A0C5-515CBE0DA8B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Guide - 2025 mid to low single digit comparable restaurant sales increase</t>
        </r>
      </text>
    </comment>
    <comment ref="AR22" authorId="0" shapeId="0" xr:uid="{E461E7BC-72F4-4079-8D9A-92E2A87CBF1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solving for low to mid-single digit comparable restaurant sales growth</t>
        </r>
      </text>
    </comment>
    <comment ref="AS22" authorId="0" shapeId="0" xr:uid="{8EDCD4FA-4ED8-4F8F-B6CA-5B397265E44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solving for low to mid-single digit comparable restaurant sales growth</t>
        </r>
      </text>
    </comment>
    <comment ref="AT22" authorId="0" shapeId="0" xr:uid="{05011DF3-0B8F-4DE1-9E72-86512AB87CCB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solving for low to mid-single digit comparable restaurant sales growth</t>
        </r>
      </text>
    </comment>
    <comment ref="AU22" authorId="0" shapeId="0" xr:uid="{09F9C341-F2FF-435B-A0E9-A1F9AD19D96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solving for low to mid-single digit comparable restaurant sales growth</t>
        </r>
      </text>
    </comment>
    <comment ref="AV22" authorId="0" shapeId="0" xr:uid="{9352587F-1ECD-4764-A17C-C2AB33AC023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solving for low to mid-single digit comparable restaurant sales growth</t>
        </r>
      </text>
    </comment>
    <comment ref="N24" authorId="0" shapeId="0" xr:uid="{CB85294A-E678-42FC-9E47-02357326B3B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estimated to foot to comparable restaurant sales increase</t>
        </r>
      </text>
    </comment>
    <comment ref="R24" authorId="0" shapeId="0" xr:uid="{A7D028A5-FD6E-42FE-BD09-EF916B8060C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estimated to foot to comparable restaurant sales increase</t>
        </r>
      </text>
    </comment>
    <comment ref="AR24" authorId="0" shapeId="0" xr:uid="{BAAD2784-FE11-47C2-A973-5A1C48F91BC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BLS Forecast CPI 2%</t>
        </r>
      </text>
    </comment>
    <comment ref="AS24" authorId="0" shapeId="0" xr:uid="{E9F91755-F843-46A9-9E4B-0E8B445938C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BLS Forecast CPI 2%</t>
        </r>
      </text>
    </comment>
    <comment ref="AT24" authorId="0" shapeId="0" xr:uid="{6F9115D5-B9DC-48A0-8257-E6398E630BE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BLS Forecast CPI 2%</t>
        </r>
      </text>
    </comment>
    <comment ref="AU24" authorId="0" shapeId="0" xr:uid="{ACD5E67E-9BB1-4194-B5A3-4E8DA9A5298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BLS Forecast CPI 2%</t>
        </r>
      </text>
    </comment>
    <comment ref="AV24" authorId="0" shapeId="0" xr:uid="{0093B338-73FD-4943-91EE-ED8B95891AA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BLS Forecast CPI 2%</t>
        </r>
      </text>
    </comment>
    <comment ref="N25" authorId="0" shapeId="0" xr:uid="{7170FF39-5807-4B4A-BC59-4A762BE342B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estimated to foot to comparable restaurant sales increase</t>
        </r>
      </text>
    </comment>
    <comment ref="R25" authorId="0" shapeId="0" xr:uid="{4428A40F-A42F-4A9F-A7A8-664ED9BA3AA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estimated to foot to comparable restaurant sales increase</t>
        </r>
      </text>
    </comment>
    <comment ref="AR25" authorId="0" shapeId="0" xr:uid="{7C03C8C7-7A60-4BCE-A7D8-C7C2B3239FC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check mix negative impact deceleration</t>
        </r>
      </text>
    </comment>
    <comment ref="AS25" authorId="0" shapeId="0" xr:uid="{22949CDB-9019-4A9D-827C-949EC6F8F41B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check mix negative impact deceleration</t>
        </r>
      </text>
    </comment>
    <comment ref="AT25" authorId="0" shapeId="0" xr:uid="{3E10AC61-CFDD-49B1-8BF6-176E3134370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check mix negative impact deceleration</t>
        </r>
      </text>
    </comment>
    <comment ref="AU25" authorId="0" shapeId="0" xr:uid="{A2CE6C39-28EF-4E6F-BD6F-AF04AD179AE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check mix negative impact deceleration</t>
        </r>
      </text>
    </comment>
    <comment ref="AV25" authorId="0" shapeId="0" xr:uid="{719EBD9F-6473-4B00-862D-DEEA48F22E9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check mix negative impact deceleration</t>
        </r>
      </text>
    </comment>
    <comment ref="AR44" authorId="0" shapeId="0" xr:uid="{78E2B424-BB34-48BF-9823-5CBF1C67F7E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Assumes business is able to flex HC to keep labor margins stable</t>
        </r>
      </text>
    </comment>
    <comment ref="AS44" authorId="0" shapeId="0" xr:uid="{D158840F-8850-486B-A79F-DDE70EBDEFB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Assumes business is able to flex HC to keep labor margins stable</t>
        </r>
      </text>
    </comment>
    <comment ref="AT44" authorId="0" shapeId="0" xr:uid="{2A84F941-19F0-41A1-A7E8-955EB544EB9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Assumes business is able to flex HC to keep labor margins stable</t>
        </r>
      </text>
    </comment>
    <comment ref="AU44" authorId="0" shapeId="0" xr:uid="{1042C547-80D4-4F06-B9BF-EF6FA5751A6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Assumes business is able to flex HC to keep labor margins stable</t>
        </r>
      </text>
    </comment>
    <comment ref="AV44" authorId="0" shapeId="0" xr:uid="{5F604ACB-A63F-4377-B4F0-6C7278D8930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Assumes business is able to flex HC to keep labor margins stable</t>
        </r>
      </text>
    </comment>
    <comment ref="AR46" authorId="0" shapeId="0" xr:uid="{3F343DB1-B4DE-4A69-A787-A610B77C7D5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Growth in step with </t>
        </r>
      </text>
    </comment>
    <comment ref="AR64" authorId="0" shapeId="0" xr:uid="{67E13C5F-8892-47A1-90DE-9AF5700BFDD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Guidance: 25-27% ETR
https://www.bamsec.com/filing/105809025000008/2?cik=1058090&amp;hl=9078:9173&amp;hl_id=vjhrvvdcbl</t>
        </r>
      </text>
    </comment>
    <comment ref="AS64" authorId="0" shapeId="0" xr:uid="{0A786D9B-DFF6-4F89-A1BF-51370072521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Guidance: 25-27% ETR
https://www.bamsec.com/filing/105809025000008/2?cik=1058090&amp;hl=9078:9173&amp;hl_id=vjhrvvdcbl</t>
        </r>
      </text>
    </comment>
    <comment ref="AT64" authorId="0" shapeId="0" xr:uid="{C47B5045-1EEA-440A-865F-DF66EC9E29DB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Guidance: 25-27% ETR
https://www.bamsec.com/filing/105809025000008/2?cik=1058090&amp;hl=9078:9173&amp;hl_id=vjhrvvdcbl</t>
        </r>
      </text>
    </comment>
    <comment ref="AU64" authorId="0" shapeId="0" xr:uid="{CB7E1F14-21F0-451F-BF3F-D89B705461B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Guidance: 25-27% ETR
https://www.bamsec.com/filing/105809025000008/2?cik=1058090&amp;hl=9078:9173&amp;hl_id=vjhrvvdcbl</t>
        </r>
      </text>
    </comment>
    <comment ref="AV64" authorId="0" shapeId="0" xr:uid="{9557BB3E-2480-480E-A956-72D43E5749A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Guidance: 25-27% ETR
https://www.bamsec.com/filing/105809025000008/2?cik=1058090&amp;hl=9078:9173&amp;hl_id=vjhrvvdcbl</t>
        </r>
      </text>
    </comment>
    <comment ref="BA64" authorId="0" shapeId="0" xr:uid="{72A42D6B-182B-47A4-B7BD-94C72021596B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Guidance: 25-27% ETR
https://www.bamsec.com/filing/105809025000008/2?cik=1058090&amp;hl=9078:9173&amp;hl_id=vjhrvvdcbl</t>
        </r>
      </text>
    </comment>
    <comment ref="AR70" authorId="0" shapeId="0" xr:uid="{12B7F68E-096D-4391-8DB3-4F3EFF3865B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As of Jan 31, 2025
https://www.bamsec.com/filing/105809025000014/1?cik=1058090&amp;hl=4530:4540&amp;hl_id=nkrxrsu5we</t>
        </r>
      </text>
    </comment>
    <comment ref="AR71" authorId="0" shapeId="0" xr:uid="{AB0518F9-2C7F-40EA-9B5D-99537EC59F9B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As of Jan 31, 2025
https://www.bamsec.com/filing/105809025000014/1?cik=1058090&amp;hl=4530:4540&amp;hl_id=nkrxrsu5we</t>
        </r>
      </text>
    </comment>
    <comment ref="D87" authorId="0" shapeId="0" xr:uid="{5514D772-C04E-453C-B7F0-D269FB906CB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other adjustments
</t>
        </r>
      </text>
    </comment>
    <comment ref="E87" authorId="0" shapeId="0" xr:uid="{A2F55647-8C9A-484A-9066-2E3F312E7EA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other adjustments</t>
        </r>
      </text>
    </comment>
    <comment ref="I87" authorId="0" shapeId="0" xr:uid="{D77CF8A5-9946-466B-B64A-23647205074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other adjustments</t>
        </r>
      </text>
    </comment>
    <comment ref="O123" authorId="0" shapeId="0" xr:uid="{010BE893-C13E-4570-8451-F552D3E6F6C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plus income tax payable 44,989</t>
        </r>
      </text>
    </comment>
    <comment ref="AR174" authorId="0" shapeId="0" xr:uid="{607EFAE9-83A9-4DC2-9972-2B2416D4185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$1bn left in share repo program as of 12/31/2024, with an additional $300mm approved Dec. 2024</t>
        </r>
      </text>
    </comment>
    <comment ref="AS174" authorId="0" shapeId="0" xr:uid="{7EC7C1A8-9348-4FB7-8617-6556F91D310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$1bn current program as of 12/31/2024 paid out thru 2026 and assumes company continues to buy back shares at same rate thru forecast period</t>
        </r>
      </text>
    </comment>
    <comment ref="AT174" authorId="0" shapeId="0" xr:uid="{A1601E28-8BB2-4B8B-B9E1-046A61F0449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$1bn current program as of 12/31/2024 paid out thru 2026 and assumes company continues to buy back shares at same rate thru forecast period</t>
        </r>
      </text>
    </comment>
    <comment ref="AU174" authorId="0" shapeId="0" xr:uid="{29EEE192-E47C-4CA2-837B-F6912FB9377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$1bn current program as of 12/31/2024 paid out thru 2026 and assumes company continues to buy back shares at same rate thru forecast period</t>
        </r>
      </text>
    </comment>
    <comment ref="AV174" authorId="0" shapeId="0" xr:uid="{567D42E2-4D29-458E-9486-9F5A8D63564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$1bn current program as of 12/31/2024 paid out thru 2026 and assumes company continues to buy back shares at same rate thru forecast period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C4" authorId="0" shapeId="0" xr:uid="{5A66452B-BA4D-4E4E-9D42-55597561396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BLS CPI Forecast</t>
        </r>
      </text>
    </comment>
    <comment ref="K36" authorId="0" shapeId="0" xr:uid="{758379FE-3BA8-4E25-9F44-520C4F9456C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USDA WASDE Report Feb 2025 projected annual figures
https://www.usda.gov/about-usda/general-information/staff-offices/office-chief-economist/commodity-markets/wasde-report/historical-wasde-report-data</t>
        </r>
      </text>
    </comment>
    <comment ref="L36" authorId="0" shapeId="0" xr:uid="{B2599A06-4DFB-412C-82FA-FD01228A6DE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USDA WASDE Report Feb 2025 projected annual figures
https://www.usda.gov/about-usda/general-information/staff-offices/office-chief-economist/commodity-markets/wasde-report/historical-wasde-report-data</t>
        </r>
      </text>
    </comment>
    <comment ref="M36" authorId="0" shapeId="0" xr:uid="{5BFD04CA-C5CE-4855-BF07-8053826D953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WASDE projected 2025 decrease in corn rates $4.35/bu vs. $4.20/bu in 2024: +3.6%
CME dec 25 futures as of 2/21/25: $4.75/bu: </t>
        </r>
      </text>
    </comment>
    <comment ref="N36" authorId="0" shapeId="0" xr:uid="{E9812B51-163F-44FE-A61D-4EFE30F7357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BLS CPI forecast</t>
        </r>
      </text>
    </comment>
    <comment ref="K39" authorId="0" shapeId="0" xr:uid="{E041EA44-45A3-4BAF-A6D3-E6E205CDBA1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USDA WASDE Report Feb 2025 projected annual figures
https://www.usda.gov/about-usda/general-information/staff-offices/office-chief-economist/commodity-markets/wasde-report/historical-wasde-report-data</t>
        </r>
      </text>
    </comment>
    <comment ref="L39" authorId="0" shapeId="0" xr:uid="{E4FE239B-2D7F-4D95-80A6-EA6CE17437D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USDA WASDE Report Feb 2025 projected annual figures
https://www.usda.gov/about-usda/general-information/staff-offices/office-chief-economist/commodity-markets/wasde-report/historical-wasde-report-data</t>
        </r>
      </text>
    </comment>
    <comment ref="M39" authorId="0" shapeId="0" xr:uid="{2EB0D440-9DDF-41FC-9845-D96AA90C458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WASDE projected 2025 decrease in corn rates $4.35/bu vs. $4.20/bu in 2024: +3.6%
CME dec 25 futures as of 2/21/25: $4.75/bu: </t>
        </r>
      </text>
    </comment>
    <comment ref="N39" authorId="0" shapeId="0" xr:uid="{44DEF969-4429-41BD-A322-98DBDA8014D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BLS CPI forecast</t>
        </r>
      </text>
    </comment>
    <comment ref="K42" authorId="0" shapeId="0" xr:uid="{DB4C7BE2-F0E0-49D0-8FD4-EF3C52C1ACB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USDA forecast 2.86B lbs in 2025 vs. 2.8bn in 2024</t>
        </r>
      </text>
    </comment>
    <comment ref="L42" authorId="0" shapeId="0" xr:uid="{D057C80C-0690-481F-AA83-4ED95DCF287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Hass Avocado Board:
3-5% annually</t>
        </r>
      </text>
    </comment>
    <comment ref="N42" authorId="0" shapeId="0" xr:uid="{F459D174-DFDA-4129-8001-DA5F6629ADC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BLS CPI forecast</t>
        </r>
      </text>
    </comment>
    <comment ref="R60" authorId="0" shapeId="0" xr:uid="{3D787D73-1A30-4A81-A56C-B274E50EAA8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dec. 2025 future</t>
        </r>
      </text>
    </comment>
    <comment ref="S60" authorId="0" shapeId="0" xr:uid="{93014F8C-3207-458B-B7A3-4A2B75D2351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avg. futures over year as of 2/23/25
</t>
        </r>
      </text>
    </comment>
    <comment ref="T60" authorId="0" shapeId="0" xr:uid="{F5FF985F-32B5-4E8B-8853-BA4779C28B3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avg. futures over year as of 2/23/25
</t>
        </r>
      </text>
    </comment>
    <comment ref="Q66" authorId="0" shapeId="0" xr:uid="{AA1F6820-ECA3-4F3D-98B7-D8F0F9F79E4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dec: 1550
Jun: 975
jan 850</t>
        </r>
      </text>
    </comment>
    <comment ref="R66" authorId="0" shapeId="0" xr:uid="{75F318E0-E00D-4315-9BED-0BD8C749F77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Jul/Jan</t>
        </r>
      </text>
    </comment>
    <comment ref="Q68" authorId="0" shapeId="0" xr:uid="{8E259AEB-B16C-4631-A1FF-5F4326EA6AE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mar,jun,sep, dec mid-month pricing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C7" authorId="0" shapeId="0" xr:uid="{C9A3562A-525C-4673-B852-2A56E7DB991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Guided ETR for 2025E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G12" authorId="0" shapeId="0" xr:uid="{6C23D784-D1C6-4305-B750-658B5AB3E51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20 yr treasury as of 2/25/25
https://home.treasury.gov/resource-center/data-chart-center/interest-rates/TextView?type=daily_treasury_yield_curve&amp;field_tdr_date_value=20</t>
        </r>
      </text>
    </comment>
    <comment ref="G17" authorId="0" shapeId="0" xr:uid="{C5F774CC-F817-472C-A005-DD0AC02C959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Revolver price SOFR+1.475%
SOFR as of 2/25/25
https://www.bamsec.com/filing/105809025000014/1?cik=1058090&amp;hl=212717:212722&amp;hl_id=4k1tppu5-g</t>
        </r>
      </text>
    </comment>
    <comment ref="G18" authorId="0" shapeId="0" xr:uid="{33FFCABC-AD5F-4249-88A6-49ED5735ED3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Marginal Tax Rate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D3" authorId="0" shapeId="0" xr:uid="{9C16747B-E3D0-4F73-AD49-AE35476C679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M10" authorId="0" shapeId="0" xr:uid="{709AFD36-AE85-4BC6-8A7D-B6E8A46302A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M13" authorId="0" shapeId="0" xr:uid="{155BDD9C-C1E0-4D3B-B54C-0CC619E21E9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M14" authorId="0" shapeId="0" xr:uid="{62C632A4-C5C5-4542-9AAC-4323CC3A3D8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M15" authorId="0" shapeId="0" xr:uid="{3324D56F-787D-4F58-A140-C5D971B38F4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M16" authorId="0" shapeId="0" xr:uid="{343DEC3B-67CF-4BF1-B453-87A3F03773A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M17" authorId="0" shapeId="0" xr:uid="{32916C9E-4E33-403C-8FD2-8FBD342817F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M18" authorId="0" shapeId="0" xr:uid="{E925A1C8-3A37-4602-AB85-9B3D9340147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G4" authorId="0" shapeId="0" xr:uid="{D9CED98C-7A57-4DDE-821C-6A4E3206D41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https://www.bamsec.com/filing/428124000034/1?cik=4281&amp;table=12</t>
        </r>
      </text>
    </comment>
    <comment ref="I4" authorId="0" shapeId="0" xr:uid="{557D5016-3541-4145-8873-9CE9A5F17B6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https://www.bamsec.com/filing/105809025000014/1?cik=1058090&amp;table=23</t>
        </r>
      </text>
    </comment>
    <comment ref="J4" authorId="0" shapeId="0" xr:uid="{AC70AC00-BAC9-4925-BE57-F1216BB4A10B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https://www.bamsec.com/filing/105809025000014/1?cik=1058090&amp;table=23</t>
        </r>
      </text>
    </comment>
    <comment ref="K4" authorId="0" shapeId="0" xr:uid="{ECAA429D-C590-47AA-ACC8-9F39A3AA7DF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Consensus 2/25/25</t>
        </r>
      </text>
    </comment>
    <comment ref="L4" authorId="0" shapeId="0" xr:uid="{A7F1A8F0-A61A-4A4A-9E66-743D40A0503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Consensus 2/25/25</t>
        </r>
      </text>
    </comment>
    <comment ref="M4" authorId="0" shapeId="0" xr:uid="{41F892D1-33C9-47DD-B062-0C29030A574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Consensus 2/25/25</t>
        </r>
      </text>
    </comment>
    <comment ref="N4" authorId="0" shapeId="0" xr:uid="{5073D6C4-CBDA-4387-9476-B8BC7EE6FFC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state and fed marginal tax rate</t>
        </r>
      </text>
    </comment>
    <comment ref="Q4" authorId="0" shapeId="0" xr:uid="{7E2E143B-D77F-4807-9982-FA17CB18A2F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See WACC tab</t>
        </r>
      </text>
    </comment>
    <comment ref="G6" authorId="0" shapeId="0" xr:uid="{7C6925C8-2500-4395-BD7A-CFCBB9F34A1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https://www.bamsec.com/filing/104106125000013/1?cik=1041061&amp;table=50</t>
        </r>
      </text>
    </comment>
    <comment ref="I6" authorId="0" shapeId="0" xr:uid="{369B1609-8A94-40D5-8484-933F57E87E2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https://www.bamsec.com/filing/104106125000013/1?cik=1041061&amp;table=50</t>
        </r>
      </text>
    </comment>
    <comment ref="J6" authorId="0" shapeId="0" xr:uid="{C2117582-DDD4-46F3-8739-D8E4AD64BE2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https://www.bamsec.com/filing/104106125000013/1?cik=1041061&amp;table=50</t>
        </r>
      </text>
    </comment>
    <comment ref="K6" authorId="0" shapeId="0" xr:uid="{DA543BDB-5750-4C8D-932D-18591574DB7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Consensus 2/25/25</t>
        </r>
      </text>
    </comment>
    <comment ref="L6" authorId="0" shapeId="0" xr:uid="{B23D8A3D-93DE-4FCF-8A45-19F21F006AA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Consensus 2/25/25</t>
        </r>
      </text>
    </comment>
    <comment ref="M6" authorId="0" shapeId="0" xr:uid="{25641C59-A77A-4150-B136-AA14BF79B35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Consensus 2/25/25</t>
        </r>
      </text>
    </comment>
    <comment ref="N6" authorId="0" shapeId="0" xr:uid="{CED8E410-8482-4A52-A350-DCB2AA1FCC0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state and fed marginal tax rate</t>
        </r>
      </text>
    </comment>
    <comment ref="Q6" authorId="0" shapeId="0" xr:uid="{928BE681-4A89-439F-A561-C7B7E505593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See WACC tab</t>
        </r>
      </text>
    </comment>
    <comment ref="G7" authorId="0" shapeId="0" xr:uid="{F5AEF787-13CA-43FE-A488-1067531B6A0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https://www.bamsec.com/filing/82922425000014/1?cik=829224&amp;table=7</t>
        </r>
      </text>
    </comment>
    <comment ref="I7" authorId="0" shapeId="0" xr:uid="{A420FF1A-BD3A-4707-8577-A90DF819C10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https://www.bamsec.com/filing/82922425000014/1?cik=829224&amp;table=7</t>
        </r>
      </text>
    </comment>
    <comment ref="J7" authorId="0" shapeId="0" xr:uid="{0F9CFB3B-16F8-49A3-A7AF-1FDF30AD8C3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https://www.bamsec.com/filing/82922425000014/1?cik=829224&amp;table=7</t>
        </r>
      </text>
    </comment>
    <comment ref="K7" authorId="0" shapeId="0" xr:uid="{36AC6A2D-E66E-43DF-B950-DA244CF5F3B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Consensus 2/25/25</t>
        </r>
      </text>
    </comment>
    <comment ref="L7" authorId="0" shapeId="0" xr:uid="{80B5423B-447E-4EBD-9A42-8B086674B25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Consensus 2/25/25</t>
        </r>
      </text>
    </comment>
    <comment ref="M7" authorId="0" shapeId="0" xr:uid="{B3B125B7-1A58-4A79-84CF-859568FCE6DB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Consensus 2/25/25</t>
        </r>
      </text>
    </comment>
    <comment ref="N7" authorId="0" shapeId="0" xr:uid="{D641EB5E-584D-41B5-A6DA-BC5E71DE6DE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state and fed marginal tax rate</t>
        </r>
      </text>
    </comment>
    <comment ref="Q7" authorId="0" shapeId="0" xr:uid="{A5C102EE-721F-4354-BD69-4A489512CE0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See WACC tab</t>
        </r>
      </text>
    </comment>
    <comment ref="G8" authorId="0" shapeId="0" xr:uid="{56B51989-DB62-463B-AF7E-5CF8A95431C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https://www.bamsec.com/filing/6390825000012/1?cik=63908&amp;table=43</t>
        </r>
      </text>
    </comment>
    <comment ref="I8" authorId="0" shapeId="0" xr:uid="{8D3305C4-1498-428B-824B-A50BEB0FC96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https://www.bamsec.com/filing/6390825000012/1?cik=63908&amp;table=43</t>
        </r>
      </text>
    </comment>
    <comment ref="J8" authorId="0" shapeId="0" xr:uid="{367CE76A-F21A-4B85-ADF0-A7CD9DB2B23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https://www.bamsec.com/filing/6390825000012/1?cik=63908&amp;table=43</t>
        </r>
      </text>
    </comment>
    <comment ref="K8" authorId="0" shapeId="0" xr:uid="{FED30536-F0D2-485A-929D-4D551534858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Consensus 2/25/25</t>
        </r>
      </text>
    </comment>
    <comment ref="L8" authorId="0" shapeId="0" xr:uid="{152F84B9-33B1-4602-BF3A-1F8159F2E33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Consensus 2/25/25</t>
        </r>
      </text>
    </comment>
    <comment ref="M8" authorId="0" shapeId="0" xr:uid="{4D62E6BF-80F9-4A52-AAE8-83E25A306CD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Consensus 2/25/25</t>
        </r>
      </text>
    </comment>
    <comment ref="N8" authorId="0" shapeId="0" xr:uid="{2D5E7CFC-F531-4F37-93DB-298DF74968F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state and fed marginal tax rate</t>
        </r>
      </text>
    </comment>
    <comment ref="Q8" authorId="0" shapeId="0" xr:uid="{1CEE84EE-AC18-48AA-BE64-9C3DF5CFFA4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See WACC tab</t>
        </r>
      </text>
    </comment>
    <comment ref="G9" authorId="0" shapeId="0" xr:uid="{0925E0A0-D2A1-458D-A3F8-F4090D3A16C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https://www.bamsec.com/filing/94094425000003/1?cik=940944&amp;table=8</t>
        </r>
      </text>
    </comment>
    <comment ref="I9" authorId="0" shapeId="0" xr:uid="{32728F32-3594-40F2-83CE-D5C56CD8D16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https://www.bamsec.com/filing/94094425000003/1?cik=940944&amp;table=8</t>
        </r>
      </text>
    </comment>
    <comment ref="J9" authorId="0" shapeId="0" xr:uid="{233F722D-0F56-4FCE-8E80-C0B90E3EE58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https://www.bamsec.com/filing/94094425000003/1?cik=940944&amp;table=8</t>
        </r>
      </text>
    </comment>
    <comment ref="K9" authorId="0" shapeId="0" xr:uid="{04378CD8-1B0A-48CB-A32E-0CBD51D1E5A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Consensus 2/25/25</t>
        </r>
      </text>
    </comment>
    <comment ref="L9" authorId="0" shapeId="0" xr:uid="{02DD97AB-8067-4C70-B102-30436BDBB91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Consensus 2/25/25</t>
        </r>
      </text>
    </comment>
    <comment ref="M9" authorId="0" shapeId="0" xr:uid="{F79A4AD1-2AFC-4687-981B-6DFB5AA38A9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Consensus 2/25/25</t>
        </r>
      </text>
    </comment>
    <comment ref="N9" authorId="0" shapeId="0" xr:uid="{3C5B8F7F-AAEF-483E-9C5B-AD281C0CDA2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state and fed marginal tax rate</t>
        </r>
      </text>
    </comment>
    <comment ref="Q9" authorId="0" shapeId="0" xr:uid="{01079204-40B6-4327-A57C-03BFE48A7BD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See WACC tab</t>
        </r>
      </text>
    </comment>
    <comment ref="G10" authorId="0" shapeId="0" xr:uid="{63773A85-4CB6-4484-8160-EB79A9AA30F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https://www.bamsec.com/filing/95017025025223/1?cik=1286681&amp;table=18</t>
        </r>
      </text>
    </comment>
    <comment ref="I10" authorId="0" shapeId="0" xr:uid="{7185893C-90BA-4BDD-BD5F-72639DB5115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https://www.bamsec.com/filing/95017025025223/1?cik=1286681&amp;hl=240086:240095&amp;hl_id=ekwrbiu5zl</t>
        </r>
      </text>
    </comment>
    <comment ref="J10" authorId="0" shapeId="0" xr:uid="{A9D620AC-1440-4D85-998A-34EDE1715DD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https://www.bamsec.com/filing/95017025025223/1?cik=1286681&amp;hl=236876:236882&amp;hl_id=4kqlrld5zg</t>
        </r>
      </text>
    </comment>
    <comment ref="K10" authorId="0" shapeId="0" xr:uid="{5EB7AEAD-385F-44EB-BC67-32E1B8E8090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Consensus 2/25/25</t>
        </r>
      </text>
    </comment>
    <comment ref="L10" authorId="0" shapeId="0" xr:uid="{C03A266A-9B06-45A8-8754-9D8F42942BC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Consensus 2/25/25</t>
        </r>
      </text>
    </comment>
    <comment ref="M10" authorId="0" shapeId="0" xr:uid="{E914475F-3177-4C91-A333-7D08C320EC0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Consensus 2/25/25</t>
        </r>
      </text>
    </comment>
    <comment ref="N10" authorId="0" shapeId="0" xr:uid="{D90645A8-340B-418E-A756-DC539CBDEDA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state and fed marginal tax rate</t>
        </r>
      </text>
    </comment>
    <comment ref="Q10" authorId="0" shapeId="0" xr:uid="{FB984167-0685-43AD-B19E-CF6B76E41C3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See WACC tab</t>
        </r>
      </text>
    </comment>
    <comment ref="G11" authorId="0" shapeId="0" xr:uid="{8E67E937-3643-46FF-8C6A-CB4A6FEB26D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https://www.bamsec.com/filing/141057825000195/1?cik=887596&amp;table=98</t>
        </r>
      </text>
    </comment>
    <comment ref="I11" authorId="0" shapeId="0" xr:uid="{A300BC9B-65DE-4240-B2C6-E2985B4D707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https://www.bamsec.com/filing/141057825000195/1?cik=887596&amp;hl=251791:251798&amp;hl_id=nkadsio9we</t>
        </r>
      </text>
    </comment>
    <comment ref="K11" authorId="0" shapeId="0" xr:uid="{3DA3720E-6E8F-41B5-BBC6-6B9D3176ECA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Consensus 2/25/25</t>
        </r>
      </text>
    </comment>
    <comment ref="L11" authorId="0" shapeId="0" xr:uid="{3AD45D68-9794-4201-9A37-112E4E89AF6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Consensus 2/25/25</t>
        </r>
      </text>
    </comment>
    <comment ref="M11" authorId="0" shapeId="0" xr:uid="{531E33CB-3F59-4C2E-9B15-FA2E74CCC5E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Consensus 2/25/25</t>
        </r>
      </text>
    </comment>
    <comment ref="N11" authorId="0" shapeId="0" xr:uid="{33C2CABB-ECB6-421A-9646-20C931538DF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state and fed marginal tax rate</t>
        </r>
      </text>
    </comment>
    <comment ref="Q11" authorId="0" shapeId="0" xr:uid="{23E64D5D-9FBD-4F31-8647-D40CA11AAC8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See WACC tab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C6" authorId="0" shapeId="0" xr:uid="{7F8BD0C1-0C2F-4643-A26D-79B5EFE520B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8" authorId="0" shapeId="0" xr:uid="{13D53981-C591-42AE-9885-11394AB61BB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https://www.bamsec.com/filing/105809025000014/1?cik=1058090&amp;hl=4530:4540&amp;hl_id=e1kdmboc-x</t>
        </r>
      </text>
    </comment>
    <comment ref="D12" authorId="0" shapeId="0" xr:uid="{F912A838-D71B-435E-A16F-971BFA42B18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https://www.bamsec.com/filing/105809025000014/1?cik=1058090&amp;table=44</t>
        </r>
      </text>
    </comment>
    <comment ref="E12" authorId="0" shapeId="0" xr:uid="{0D187368-F354-408C-9328-E3C9CA7A0B7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https://www.bamsec.com/filing/105809025000014/1?cik=1058090&amp;table=44</t>
        </r>
      </text>
    </comment>
    <comment ref="D13" authorId="0" shapeId="0" xr:uid="{E1A8C496-B7F6-4D5D-BB2C-6F000ACE6A5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https://www.bamsec.com/filing/105809025000014/1?cik=1058090&amp;table=46</t>
        </r>
      </text>
    </comment>
    <comment ref="D14" authorId="0" shapeId="0" xr:uid="{B2268806-A7E7-40B8-8536-62AFACB1F3C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https://www.bamsec.com/filing/105809025000014/1?cik=1058090&amp;table=47</t>
        </r>
      </text>
    </comment>
    <comment ref="L17" authorId="0" shapeId="0" xr:uid="{639467D4-C6D3-40B3-A320-A70AB894D5E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https://www.bamsec.com/filing/105809025000008/2?cik=1058090&amp;hl=19990:20000&amp;hl_id=41mngho9-l</t>
        </r>
      </text>
    </comment>
    <comment ref="L21" authorId="0" shapeId="0" xr:uid="{2C0563A2-55DF-4401-8380-569FA0FFEA1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https://www.bamsec.com/filing/105809025000008/2?cik=1058090&amp;hl=19156:19164&amp;hl_id=ekbefruc-g</t>
        </r>
      </text>
    </comment>
  </commentList>
</comments>
</file>

<file path=xl/sharedStrings.xml><?xml version="1.0" encoding="utf-8"?>
<sst xmlns="http://schemas.openxmlformats.org/spreadsheetml/2006/main" count="605" uniqueCount="419">
  <si>
    <t>CMG Model</t>
  </si>
  <si>
    <t>Q1 '21</t>
  </si>
  <si>
    <t>Q2 '21</t>
  </si>
  <si>
    <t>Q3 '21</t>
  </si>
  <si>
    <t>Q4 '21</t>
  </si>
  <si>
    <t>Q1 '22</t>
  </si>
  <si>
    <t>Q2 '22</t>
  </si>
  <si>
    <t>Q3 '22</t>
  </si>
  <si>
    <t>Q4 '22</t>
  </si>
  <si>
    <t>Q1 '23</t>
  </si>
  <si>
    <t>Q2 '23</t>
  </si>
  <si>
    <t>Q3 '23</t>
  </si>
  <si>
    <t>Q4 '23</t>
  </si>
  <si>
    <t>Q1 '24</t>
  </si>
  <si>
    <t>Q2 '24</t>
  </si>
  <si>
    <t>Q3 '24</t>
  </si>
  <si>
    <t>Q4 '24</t>
  </si>
  <si>
    <t>Q1 '25</t>
  </si>
  <si>
    <t>Q2 '25</t>
  </si>
  <si>
    <t>Q3 '25</t>
  </si>
  <si>
    <t>Q4 '25</t>
  </si>
  <si>
    <t>Actual</t>
  </si>
  <si>
    <t>Est</t>
  </si>
  <si>
    <t>Revenue Build</t>
  </si>
  <si>
    <t>CAGR</t>
  </si>
  <si>
    <t>Food and beverage revenue</t>
  </si>
  <si>
    <t>Delivery service revenue</t>
  </si>
  <si>
    <t>Total revenue</t>
  </si>
  <si>
    <t>Restaurant operating costs (exclusive of depreciation and amortization shown separately below):</t>
  </si>
  <si>
    <t>Food, beverage and packaging</t>
  </si>
  <si>
    <t>Labor</t>
  </si>
  <si>
    <t>Occupancy</t>
  </si>
  <si>
    <t>Other operating costs</t>
  </si>
  <si>
    <t>General and administrative expenses</t>
  </si>
  <si>
    <t>Depreciation and amortization</t>
  </si>
  <si>
    <t>Pre-opening costs</t>
  </si>
  <si>
    <t>Impairment, closure costs, and asset disposals</t>
  </si>
  <si>
    <t>Total operating expenses</t>
  </si>
  <si>
    <t>Income from operations</t>
  </si>
  <si>
    <t>Interest and other income, net</t>
  </si>
  <si>
    <t>Income before income taxes</t>
  </si>
  <si>
    <t>Provision for income taxes</t>
  </si>
  <si>
    <t>Net income</t>
  </si>
  <si>
    <t>Earnings per share:</t>
  </si>
  <si>
    <t>Basic</t>
  </si>
  <si>
    <t>Diluted</t>
  </si>
  <si>
    <t>Weighted-average common shares outstanding:</t>
  </si>
  <si>
    <t>Income Statement</t>
  </si>
  <si>
    <t>Non-GAAP adjustments:</t>
  </si>
  <si>
    <t>Impairment and exit costs:</t>
  </si>
  <si>
    <t>Restaurant asset impairment and other restaurant exit costs(1)</t>
  </si>
  <si>
    <t>Corporate operating lease asset impairment and other corporate costs(2)</t>
  </si>
  <si>
    <t>Software asset impairment(3)</t>
  </si>
  <si>
    <t>Corporate Restructuring:</t>
  </si>
  <si>
    <t>Employee related and other restructuring costs(4)</t>
  </si>
  <si>
    <t>Legal proceedings(5)</t>
  </si>
  <si>
    <t>Stock-based compensation forfeiture(6)</t>
  </si>
  <si>
    <t>Stock-based compensation retention grants(7)</t>
  </si>
  <si>
    <t>Accelerated depreciation(8)</t>
  </si>
  <si>
    <t>Investment(9)</t>
  </si>
  <si>
    <t>Total non-GAAP adjustments</t>
  </si>
  <si>
    <t>Tax effect of non-GAAP adjustments above(10)</t>
  </si>
  <si>
    <t>After tax impact of non-GAAP adjustments</t>
  </si>
  <si>
    <t>Adjusted net income</t>
  </si>
  <si>
    <t>Diluted weighted-average number of common shares outstanding</t>
  </si>
  <si>
    <t>Diluted earnings per share</t>
  </si>
  <si>
    <t>Adjusted diluted earnings per share</t>
  </si>
  <si>
    <t>Company-owned restaurants opened</t>
  </si>
  <si>
    <t>Chipotle permanent closures</t>
  </si>
  <si>
    <t>Chipotle relocations</t>
  </si>
  <si>
    <t>Company-owned restaurants at end of period</t>
  </si>
  <si>
    <t>Average restaurant sales</t>
  </si>
  <si>
    <t>Comparable restaurant sales increase</t>
  </si>
  <si>
    <t>Balance Sheet</t>
  </si>
  <si>
    <t>Assets</t>
  </si>
  <si>
    <t>Current assets:</t>
  </si>
  <si>
    <t>Cash and cash equivalents</t>
  </si>
  <si>
    <t>Accounts receivable, net</t>
  </si>
  <si>
    <t>Inventory</t>
  </si>
  <si>
    <t>Prepaid expenses and other current assets</t>
  </si>
  <si>
    <t>Income tax receivable</t>
  </si>
  <si>
    <t>Investments</t>
  </si>
  <si>
    <t>Total current assets</t>
  </si>
  <si>
    <t>Leasehold improvements, property and equipment, net</t>
  </si>
  <si>
    <t>Long-term investments</t>
  </si>
  <si>
    <t>Restricted cash</t>
  </si>
  <si>
    <t>Operating lease assets</t>
  </si>
  <si>
    <t>Other assets</t>
  </si>
  <si>
    <t>Goodwill</t>
  </si>
  <si>
    <t>Total assets</t>
  </si>
  <si>
    <t>Liabilities and shareholders' equity</t>
  </si>
  <si>
    <t>Current liabilities:</t>
  </si>
  <si>
    <t>Accounts payable</t>
  </si>
  <si>
    <t>Accrued payroll and benefits</t>
  </si>
  <si>
    <t>Accrued liabilities</t>
  </si>
  <si>
    <t>Unearned revenue</t>
  </si>
  <si>
    <t>Current operating lease liabilities</t>
  </si>
  <si>
    <t>Total current liabilities</t>
  </si>
  <si>
    <t>Long-term operating lease liabilities</t>
  </si>
  <si>
    <t>Deferred income tax liabilities</t>
  </si>
  <si>
    <t>Other liabilities</t>
  </si>
  <si>
    <t>Total liabilities</t>
  </si>
  <si>
    <t>Shareholders' equity:</t>
  </si>
  <si>
    <t>Preferred stock, $0.01 par value, 600,000 shares authorized, no shares issued as of December 31, 2024 and December 31, 2023, respectively</t>
  </si>
  <si>
    <t>Common stock, $0.01 par value, 11,500,000 shares authorized, 1,358,751 and 1,874,139 shares issued as of December 31, 2024 and December 31, 2023, respectively</t>
  </si>
  <si>
    <t>Additional paid-in capital</t>
  </si>
  <si>
    <t>Treasury stock, at cost, 0 and 502,843 common shares as of December 31, 2024 and December 31, 2023, respectively</t>
  </si>
  <si>
    <t>Accumulated other comprehensive loss</t>
  </si>
  <si>
    <t>Retained earnings</t>
  </si>
  <si>
    <t>Total shareholders' equity</t>
  </si>
  <si>
    <t>Total liabilities and shareholders' equity</t>
  </si>
  <si>
    <t>Cash Flow Statement</t>
  </si>
  <si>
    <t>Operating activities</t>
  </si>
  <si>
    <t>Adjustments to reconcile net income to net cash provided by operating activities:</t>
  </si>
  <si>
    <t>Deferred income tax provision</t>
  </si>
  <si>
    <t>Provision for credit losses</t>
  </si>
  <si>
    <t>Stock-based compensation expense</t>
  </si>
  <si>
    <t>Other</t>
  </si>
  <si>
    <t>Changes in operating assets and liabilities:</t>
  </si>
  <si>
    <t>Accounts receivable</t>
  </si>
  <si>
    <t>Income tax payable/receivable</t>
  </si>
  <si>
    <t>Operating lease liabilities</t>
  </si>
  <si>
    <t>Other long-term liabilities</t>
  </si>
  <si>
    <t>Net cash provided by operating activities</t>
  </si>
  <si>
    <t>Investing activities</t>
  </si>
  <si>
    <t>Purchases of leasehold improvements, property and equipment</t>
  </si>
  <si>
    <t>Purchases of investments</t>
  </si>
  <si>
    <t>Maturities of investments</t>
  </si>
  <si>
    <t>Proceeds from sale of equipment</t>
  </si>
  <si>
    <t>Net cash used in investing activities</t>
  </si>
  <si>
    <t>Financing activities</t>
  </si>
  <si>
    <t>Repurchase of common stock</t>
  </si>
  <si>
    <t>Tax withholding on stock-based compensation awards</t>
  </si>
  <si>
    <t>Other financing activities</t>
  </si>
  <si>
    <t>Net cash used in financing activities</t>
  </si>
  <si>
    <t>Effect of exchange rate changes on cash, cash equivalents and restricted cash</t>
  </si>
  <si>
    <t>Net change in cash, cash equivalents, and restricted cash</t>
  </si>
  <si>
    <t>Cash, cash equivalents, and restricted cash at beginning of year</t>
  </si>
  <si>
    <t>Cash, cash equivalents, and restricted cash at end of year</t>
  </si>
  <si>
    <t>Transactions</t>
  </si>
  <si>
    <t>Average check</t>
  </si>
  <si>
    <t>Menu price increase</t>
  </si>
  <si>
    <t>Check mix</t>
  </si>
  <si>
    <t>Digital Sales % of Food and bev revenue</t>
  </si>
  <si>
    <t>Q1</t>
  </si>
  <si>
    <t>Q2</t>
  </si>
  <si>
    <t>Q3</t>
  </si>
  <si>
    <t>Q4</t>
  </si>
  <si>
    <t>High</t>
  </si>
  <si>
    <t>Low</t>
  </si>
  <si>
    <t>Median</t>
  </si>
  <si>
    <t>Base</t>
  </si>
  <si>
    <t>Change</t>
  </si>
  <si>
    <t>Quarter</t>
  </si>
  <si>
    <t>Q42020 Digital Sales $ of food and bev</t>
  </si>
  <si>
    <t>% Growth YoY</t>
  </si>
  <si>
    <t>Opex Ratios</t>
  </si>
  <si>
    <t>% of total revenue</t>
  </si>
  <si>
    <t>% Margin</t>
  </si>
  <si>
    <t>% Incremental Margin</t>
  </si>
  <si>
    <t>Growth YoY</t>
  </si>
  <si>
    <t>Memo: Total Revenue</t>
  </si>
  <si>
    <t>Guidance</t>
  </si>
  <si>
    <t>Avg.</t>
  </si>
  <si>
    <t>Guide YoY Growth in New Units</t>
  </si>
  <si>
    <t>Year</t>
  </si>
  <si>
    <t>Restaurants opened</t>
  </si>
  <si>
    <t>Guide Growth Rate vs. last beat</t>
  </si>
  <si>
    <t>Correlation:</t>
  </si>
  <si>
    <t>Guide beat / (miss)</t>
  </si>
  <si>
    <t>Revenue / Restaurant</t>
  </si>
  <si>
    <t>Food and Bev % of total</t>
  </si>
  <si>
    <t>Delivery service % of total</t>
  </si>
  <si>
    <t>Q1 '26</t>
  </si>
  <si>
    <t>Q2 '26</t>
  </si>
  <si>
    <t>Q3 '26</t>
  </si>
  <si>
    <t>Q4 '26</t>
  </si>
  <si>
    <t>Q1 '27</t>
  </si>
  <si>
    <t>Q2 '27</t>
  </si>
  <si>
    <t>Q3 '27</t>
  </si>
  <si>
    <t>Q4 '27</t>
  </si>
  <si>
    <t>Q1 '28</t>
  </si>
  <si>
    <t>Q2 '28</t>
  </si>
  <si>
    <t>Q3 '28</t>
  </si>
  <si>
    <t>Q4 '28</t>
  </si>
  <si>
    <t xml:space="preserve"> </t>
  </si>
  <si>
    <t>Q1 '29</t>
  </si>
  <si>
    <t>Q2 '29</t>
  </si>
  <si>
    <t>Q3 '29</t>
  </si>
  <si>
    <t>Q4 '29</t>
  </si>
  <si>
    <t>Existing Restaurant Revenue</t>
  </si>
  <si>
    <t>Plus: New Restaurant Growth</t>
  </si>
  <si>
    <t>Total Revenue - EOP</t>
  </si>
  <si>
    <t>Food</t>
  </si>
  <si>
    <t>Packaging</t>
  </si>
  <si>
    <t>Beverage</t>
  </si>
  <si>
    <t>Chicken</t>
  </si>
  <si>
    <t>Beef</t>
  </si>
  <si>
    <t>Avocados</t>
  </si>
  <si>
    <t>Other Food inputs</t>
  </si>
  <si>
    <t>% total revenue</t>
  </si>
  <si>
    <t>$ per restaranut</t>
  </si>
  <si>
    <t>Growth % YoY</t>
  </si>
  <si>
    <t>Supply</t>
  </si>
  <si>
    <t>Demand</t>
  </si>
  <si>
    <t>Inflation</t>
  </si>
  <si>
    <t>USDA Projected</t>
  </si>
  <si>
    <t>CME Futures</t>
  </si>
  <si>
    <t>% Growth</t>
  </si>
  <si>
    <t>Sulfur</t>
  </si>
  <si>
    <t>Input Costs</t>
  </si>
  <si>
    <t>TTF nat gas</t>
  </si>
  <si>
    <t>TTF nat gas (Eur/MWh)</t>
  </si>
  <si>
    <t xml:space="preserve">Sulfur -EXBXG Futures </t>
  </si>
  <si>
    <t>Potash</t>
  </si>
  <si>
    <t>2025 - Adj.</t>
  </si>
  <si>
    <t>Assumptions</t>
  </si>
  <si>
    <t>Cost Mix (% of FB&amp;P</t>
  </si>
  <si>
    <t>Cost Mix (% of Food)</t>
  </si>
  <si>
    <t>Restaurants - EOP</t>
  </si>
  <si>
    <t>Cost Projection</t>
  </si>
  <si>
    <t>Input Cost Growth Projection</t>
  </si>
  <si>
    <t>Protein</t>
  </si>
  <si>
    <t>xx</t>
  </si>
  <si>
    <t>CPI Growth</t>
  </si>
  <si>
    <t>% of Revenue</t>
  </si>
  <si>
    <t>New restaurant mid-year convention</t>
  </si>
  <si>
    <t>Restaurant Openings</t>
  </si>
  <si>
    <t>'24E - '29E</t>
  </si>
  <si>
    <t>Tax Rate</t>
  </si>
  <si>
    <t>Check</t>
  </si>
  <si>
    <t>Working Capital Assumptions</t>
  </si>
  <si>
    <t>DIO</t>
  </si>
  <si>
    <t>DSO</t>
  </si>
  <si>
    <t>% of Sales</t>
  </si>
  <si>
    <t>Memo: Revenue</t>
  </si>
  <si>
    <t>Memo: Opex</t>
  </si>
  <si>
    <t>DPO</t>
  </si>
  <si>
    <t>Workings Capital</t>
  </si>
  <si>
    <t>Current Assets</t>
  </si>
  <si>
    <t>Less: Current Liabilities</t>
  </si>
  <si>
    <t>Change in Working Capital</t>
  </si>
  <si>
    <t>Memo: Days</t>
  </si>
  <si>
    <t>Capex</t>
  </si>
  <si>
    <t>D&amp;A</t>
  </si>
  <si>
    <t>Other Cash Flow Assumptions</t>
  </si>
  <si>
    <t>Operating Lease Assets</t>
  </si>
  <si>
    <t>Maturities of Investments</t>
  </si>
  <si>
    <t>LT Operating Lease Liabilities</t>
  </si>
  <si>
    <t>Current Operating Lease Liabilities</t>
  </si>
  <si>
    <t>% of Annual Investments Made</t>
  </si>
  <si>
    <t>Stock Based Compensation</t>
  </si>
  <si>
    <t>Value Date</t>
  </si>
  <si>
    <t>Stub period</t>
  </si>
  <si>
    <t>End</t>
  </si>
  <si>
    <t>WACC</t>
  </si>
  <si>
    <t>PGR</t>
  </si>
  <si>
    <t>Discounted Cash Flow Analysis</t>
  </si>
  <si>
    <t>Terminal Year</t>
  </si>
  <si>
    <t>Revenue</t>
  </si>
  <si>
    <t>EBIT</t>
  </si>
  <si>
    <t>Plus: D&amp;A</t>
  </si>
  <si>
    <t>Less: Cash Taxes</t>
  </si>
  <si>
    <t>Less: CapEx</t>
  </si>
  <si>
    <t>Less: Change in NWC</t>
  </si>
  <si>
    <t>Unlevered Free Cash Flow</t>
  </si>
  <si>
    <t>Stubbed UFCF</t>
  </si>
  <si>
    <t>Discount Period</t>
  </si>
  <si>
    <t>Discount Factor</t>
  </si>
  <si>
    <t>PV of Free Cash Flows</t>
  </si>
  <si>
    <t>Perpetuity Growth Methodology</t>
  </si>
  <si>
    <t>Discount Rate</t>
  </si>
  <si>
    <t>Perpetuity Growth Rate</t>
  </si>
  <si>
    <t>Discount Factor for TV</t>
  </si>
  <si>
    <t>Free Cash Flow in Terminal Year</t>
  </si>
  <si>
    <t>Terminal Value</t>
  </si>
  <si>
    <t>Present Value of Projection Period</t>
  </si>
  <si>
    <t>Present Value of Terminal Value</t>
  </si>
  <si>
    <t>Implied Enterprise Value</t>
  </si>
  <si>
    <t>Less: Net Debt</t>
  </si>
  <si>
    <t>Implied Equity Value</t>
  </si>
  <si>
    <t>FDSO</t>
  </si>
  <si>
    <t>Implied DCF Value Per Share</t>
  </si>
  <si>
    <t>Current Price</t>
  </si>
  <si>
    <t xml:space="preserve">Implied Premium / (Discount) to Current </t>
  </si>
  <si>
    <t>Implied Terminal EBITDA Multiple Calculation</t>
  </si>
  <si>
    <t>Adjusted Terminal Valuation</t>
  </si>
  <si>
    <t>Terminal Year EBITDA</t>
  </si>
  <si>
    <t>Implied Terminal EBITDA Multiple</t>
  </si>
  <si>
    <t>Sensitivity Analysis</t>
  </si>
  <si>
    <t>Valuation Sensitivities - PGR &amp; WACC</t>
  </si>
  <si>
    <t>Implied Price per Share</t>
  </si>
  <si>
    <t>Discount</t>
  </si>
  <si>
    <t>Rate</t>
  </si>
  <si>
    <t>Implied Premium / (Discount) to Current Share Price</t>
  </si>
  <si>
    <t>TSM Build</t>
  </si>
  <si>
    <t>Ticker</t>
  </si>
  <si>
    <t>Price</t>
  </si>
  <si>
    <t>As Of</t>
  </si>
  <si>
    <t>Basic Shares</t>
  </si>
  <si>
    <t>Options</t>
  </si>
  <si>
    <t>WAEP</t>
  </si>
  <si>
    <t>In / Out</t>
  </si>
  <si>
    <t>Proceeds</t>
  </si>
  <si>
    <t>Market Capitalization</t>
  </si>
  <si>
    <t>RSUs</t>
  </si>
  <si>
    <t>PSUs</t>
  </si>
  <si>
    <t>Target Price Premium / (Discount)</t>
  </si>
  <si>
    <t>Target Price</t>
  </si>
  <si>
    <t>Total</t>
  </si>
  <si>
    <t>Fully-Diluted Shares</t>
  </si>
  <si>
    <t>Total ITM</t>
  </si>
  <si>
    <t>Plus: Debt</t>
  </si>
  <si>
    <t>Shares Repurchased</t>
  </si>
  <si>
    <t>Plus: NCI</t>
  </si>
  <si>
    <t>Shares Issues (Dilution)</t>
  </si>
  <si>
    <t>Plus: Preferred</t>
  </si>
  <si>
    <t>Fully Diluted Shares Outstanding</t>
  </si>
  <si>
    <t>Less: Investments in Unconsolidated Subs</t>
  </si>
  <si>
    <t>Less: Cash &amp; Cash Equivalents</t>
  </si>
  <si>
    <t>Implied Total Enterprise Value</t>
  </si>
  <si>
    <t>SOSARs</t>
  </si>
  <si>
    <t>As of</t>
  </si>
  <si>
    <t>Company Name</t>
  </si>
  <si>
    <t>Current Share Price</t>
  </si>
  <si>
    <t>Market Cap</t>
  </si>
  <si>
    <t>Net Debt</t>
  </si>
  <si>
    <t>TEV</t>
  </si>
  <si>
    <t>BVE</t>
  </si>
  <si>
    <t>ROIC</t>
  </si>
  <si>
    <t>IC</t>
  </si>
  <si>
    <t>EV / IC</t>
  </si>
  <si>
    <t>Excess Returns</t>
  </si>
  <si>
    <t>Equation</t>
  </si>
  <si>
    <t>Implied EV / IC Multiple</t>
  </si>
  <si>
    <t>Implied Equity</t>
  </si>
  <si>
    <t>Implied Share Price</t>
  </si>
  <si>
    <t>Premium to Current</t>
  </si>
  <si>
    <t>CMG</t>
  </si>
  <si>
    <t>Marginal Tax Rate</t>
  </si>
  <si>
    <t>YUM</t>
  </si>
  <si>
    <t>SBUX</t>
  </si>
  <si>
    <t>Yum! Brands</t>
  </si>
  <si>
    <t>Starbucks</t>
  </si>
  <si>
    <t>MCD</t>
  </si>
  <si>
    <t>McDonalds</t>
  </si>
  <si>
    <t>DRI</t>
  </si>
  <si>
    <t>Darden Restaurants</t>
  </si>
  <si>
    <t>DPZ</t>
  </si>
  <si>
    <t>Dominos</t>
  </si>
  <si>
    <t>CAKE</t>
  </si>
  <si>
    <t>Cheesecake Factory</t>
  </si>
  <si>
    <t>Chipotle</t>
  </si>
  <si>
    <t>Implied TEV / '25 EBIT</t>
  </si>
  <si>
    <t>CMG Invested Capital</t>
  </si>
  <si>
    <t>CMG Implied Valuation</t>
  </si>
  <si>
    <t>Restaurants Opened YoY Growth</t>
  </si>
  <si>
    <t>y-axis</t>
  </si>
  <si>
    <t>x-axis</t>
  </si>
  <si>
    <t>Market Value of Common Equity</t>
  </si>
  <si>
    <t>Total Debt + Pref Stock</t>
  </si>
  <si>
    <t>Leverage Ratios</t>
  </si>
  <si>
    <t>Company</t>
  </si>
  <si>
    <t>5 Years</t>
  </si>
  <si>
    <t>D / E</t>
  </si>
  <si>
    <t>D / (D + E)</t>
  </si>
  <si>
    <t>Mean</t>
  </si>
  <si>
    <t>Reference Range - Prospective Unlevered Equity Beta</t>
  </si>
  <si>
    <t>Target Debt / Equity Ratio</t>
  </si>
  <si>
    <t>Refernce Range - Prospective Levered Equity Beta</t>
  </si>
  <si>
    <t>WACC Calculation</t>
  </si>
  <si>
    <t>Prospective Cost of 
Equity and WACC</t>
  </si>
  <si>
    <t>Prospective US Equity Risk Premium</t>
  </si>
  <si>
    <t>Multiply by:  Prospective Levered Equity Beta</t>
  </si>
  <si>
    <t>Corresponding Prospective Unlevered Equity Beta</t>
  </si>
  <si>
    <t>Adjusted Prospective US Equity Risk Premium</t>
  </si>
  <si>
    <t>Add: Risk-Free Rate of Return (Rf)</t>
  </si>
  <si>
    <t>Illustrative Prospective Cost of Equity</t>
  </si>
  <si>
    <t>Multiply by:  Prospective E/(D+E)</t>
  </si>
  <si>
    <t>Cost of Equity Portion</t>
  </si>
  <si>
    <t>Assumed Cost of Debt (Kd)</t>
  </si>
  <si>
    <t>Assumed Tax Rate</t>
  </si>
  <si>
    <t>After-Tax Cost of Debt</t>
  </si>
  <si>
    <t>Multiply by:  Prospective D/(D+E)</t>
  </si>
  <si>
    <t>Cost of Debt Portion</t>
  </si>
  <si>
    <t>Prospective WACC Range</t>
  </si>
  <si>
    <t>Midpoint WACC</t>
  </si>
  <si>
    <t>Memo:</t>
  </si>
  <si>
    <t>D/E</t>
  </si>
  <si>
    <t>D/(D+E)</t>
  </si>
  <si>
    <t>Peers</t>
  </si>
  <si>
    <t>Chipotle Marginal Tax Rate</t>
  </si>
  <si>
    <t>Top Quartile</t>
  </si>
  <si>
    <t>Bottom Quartile</t>
  </si>
  <si>
    <t>6.5%=0.0352x - 0.1279</t>
  </si>
  <si>
    <t>Operating Income</t>
  </si>
  <si>
    <t>Sales</t>
  </si>
  <si>
    <t>Growth %</t>
  </si>
  <si>
    <t>Margin %</t>
  </si>
  <si>
    <t>Model</t>
  </si>
  <si>
    <t>Consensus</t>
  </si>
  <si>
    <t>Delta</t>
  </si>
  <si>
    <t>TEV / NTM EBIT Multiple</t>
  </si>
  <si>
    <t>EBIT (NTM) - Y+1</t>
  </si>
  <si>
    <t>($bn)</t>
  </si>
  <si>
    <t>Equity Value</t>
  </si>
  <si>
    <t>Share Price</t>
  </si>
  <si>
    <t>Average Median/Low</t>
  </si>
  <si>
    <t>IRR</t>
  </si>
  <si>
    <t>MOIC</t>
  </si>
  <si>
    <t>Chicken + Beef + Avocado</t>
  </si>
  <si>
    <t>Weighted Average Growth</t>
  </si>
  <si>
    <t>2025 Input Growth Model</t>
  </si>
  <si>
    <t>Digital Mix Shift</t>
  </si>
  <si>
    <t>Packaging Specific Inflation</t>
  </si>
  <si>
    <t>Corn Price $/bu (average USDA/CME)</t>
  </si>
  <si>
    <t>% Weight</t>
  </si>
  <si>
    <t>Cost Weighting</t>
  </si>
  <si>
    <t>Total Growth - weighted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</si>
</sst>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3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&quot;A&quot;"/>
    <numFmt numFmtId="165" formatCode="0&quot;E&quot;"/>
    <numFmt numFmtId="166" formatCode="_(\$* #,##0_);_(\$* \(#,##0\);_(\$* &quot;-&quot;_);_(@_)"/>
    <numFmt numFmtId="167" formatCode="_(#,##0_);_(\(#,##0\);_(&quot;-&quot;_);_(@_)"/>
    <numFmt numFmtId="168" formatCode="_(0_);_(\(0\);_(&quot;-&quot;_);@_)"/>
    <numFmt numFmtId="169" formatCode="_(\$* #,##0.00_);_(\$* \(#,##0.00\);_(\$* &quot;-&quot;_);_(@_)"/>
    <numFmt numFmtId="170" formatCode="_(#,##0.0%_);_(\(#,##0.0\)%;_(&quot;-&quot;\%_);@"/>
    <numFmt numFmtId="171" formatCode="0.0%"/>
    <numFmt numFmtId="172" formatCode="0.0"/>
    <numFmt numFmtId="173" formatCode="_(* #,##0.0_);_(* \(#,##0.0\);_(* &quot;-&quot;??_);_(@_)"/>
    <numFmt numFmtId="174" formatCode="_(* #,##0_);_(* \(#,##0\);_(* &quot;-&quot;??_);_(@_)"/>
    <numFmt numFmtId="175" formatCode="#,##0.0"/>
    <numFmt numFmtId="176" formatCode="&quot;$&quot;#,##0.00"/>
    <numFmt numFmtId="177" formatCode="&quot;$&quot;#,##0.0"/>
    <numFmt numFmtId="178" formatCode="_(&quot;$&quot;* #,##0.0_);_(&quot;$&quot;* \(#,##0.0\);_(&quot;$&quot;* &quot;-&quot;??_);_(@_)"/>
    <numFmt numFmtId="179" formatCode="0.0\x"/>
    <numFmt numFmtId="180" formatCode="&quot;$&quot;#,##0_);\(#,##0\)"/>
    <numFmt numFmtId="181" formatCode="&quot;$&quot;#,##0.00_);\(#,##0.00\)"/>
    <numFmt numFmtId="182" formatCode="_(* #,##0.000_);_(* \(#,##0.000\);_(* &quot;-&quot;??_);_(@_)"/>
  </numFmts>
  <fonts count="34" x14ac:knownFonts="1">
    <font>
      <sz val="11"/>
      <color theme="1"/>
      <name val="Aptos Narrow"/>
      <family val="2"/>
      <scheme val="minor"/>
    </font>
    <font>
      <b/>
      <sz val="11"/>
      <color theme="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1"/>
      <color theme="0"/>
      <name val="Arial"/>
      <family val="2"/>
    </font>
    <font>
      <sz val="11"/>
      <name val="Calibri"/>
      <family val="2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name val="Arial"/>
      <family val="2"/>
    </font>
    <font>
      <b/>
      <sz val="11"/>
      <color theme="1"/>
      <name val="Arial"/>
      <family val="2"/>
    </font>
    <font>
      <sz val="11"/>
      <color rgb="FF0000FF"/>
      <name val="Arial"/>
      <family val="2"/>
    </font>
    <font>
      <sz val="11"/>
      <color rgb="FF0000FF"/>
      <name val="Aptos Narrow"/>
      <family val="2"/>
      <scheme val="minor"/>
    </font>
    <font>
      <i/>
      <sz val="11"/>
      <color theme="1"/>
      <name val="Arial"/>
      <family val="2"/>
    </font>
    <font>
      <i/>
      <sz val="11"/>
      <name val="Arial"/>
      <family val="2"/>
    </font>
    <font>
      <b/>
      <i/>
      <sz val="11"/>
      <color theme="1"/>
      <name val="Arial"/>
      <family val="2"/>
    </font>
    <font>
      <b/>
      <sz val="11"/>
      <color rgb="FF0000FF"/>
      <name val="Arial"/>
      <family val="2"/>
    </font>
    <font>
      <b/>
      <i/>
      <sz val="11"/>
      <color theme="0"/>
      <name val="Arial"/>
      <family val="2"/>
    </font>
    <font>
      <i/>
      <sz val="11"/>
      <color rgb="FF0000FF"/>
      <name val="Arial"/>
      <family val="2"/>
    </font>
    <font>
      <sz val="11"/>
      <color rgb="FF0066FF"/>
      <name val="Arial"/>
      <family val="2"/>
    </font>
    <font>
      <sz val="10"/>
      <color theme="1"/>
      <name val="Arial"/>
      <family val="2"/>
    </font>
    <font>
      <b/>
      <i/>
      <sz val="11"/>
      <name val="Arial"/>
      <family val="2"/>
    </font>
    <font>
      <sz val="11"/>
      <color rgb="FF7030A0"/>
      <name val="Arial"/>
      <family val="2"/>
    </font>
    <font>
      <i/>
      <sz val="11"/>
      <color theme="1"/>
      <name val="Aptos Narrow"/>
      <family val="2"/>
      <scheme val="minor"/>
    </font>
    <font>
      <sz val="10"/>
      <color rgb="FF0000FF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u/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i/>
      <sz val="11"/>
      <color theme="1"/>
      <name val="Aptos Narrow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B2318"/>
        <bgColor indexed="64"/>
      </patternFill>
    </fill>
    <fill>
      <patternFill patternType="solid">
        <fgColor rgb="FF4515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14B80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8">
    <xf numFmtId="0" fontId="0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4" fontId="22" fillId="0" borderId="0" applyFont="0" applyFill="0" applyBorder="0" applyAlignment="0" applyProtection="0"/>
    <xf numFmtId="9" fontId="22" fillId="0" borderId="0" applyFont="0" applyFill="0" applyBorder="0" applyAlignment="0" applyProtection="0"/>
  </cellStyleXfs>
  <cellXfs count="316">
    <xf numFmtId="0" fontId="0" fillId="0" borderId="0" xfId="0"/>
    <xf numFmtId="0" fontId="2" fillId="3" borderId="0" xfId="0" applyFont="1" applyFill="1" applyAlignment="1">
      <alignment horizontal="right"/>
    </xf>
    <xf numFmtId="0" fontId="3" fillId="0" borderId="0" xfId="0" applyFont="1" applyAlignment="1">
      <alignment horizontal="right"/>
    </xf>
    <xf numFmtId="165" fontId="2" fillId="3" borderId="0" xfId="0" applyNumberFormat="1" applyFont="1" applyFill="1" applyAlignment="1">
      <alignment horizontal="right"/>
    </xf>
    <xf numFmtId="0" fontId="3" fillId="0" borderId="0" xfId="0" applyFont="1"/>
    <xf numFmtId="0" fontId="2" fillId="3" borderId="0" xfId="0" quotePrefix="1" applyFont="1" applyFill="1" applyAlignment="1">
      <alignment horizontal="right"/>
    </xf>
    <xf numFmtId="168" fontId="5" fillId="0" borderId="0" xfId="0" applyNumberFormat="1" applyFont="1" applyAlignment="1">
      <alignment horizontal="right"/>
    </xf>
    <xf numFmtId="43" fontId="0" fillId="0" borderId="0" xfId="0" applyNumberFormat="1"/>
    <xf numFmtId="0" fontId="3" fillId="0" borderId="0" xfId="0" applyFont="1" applyAlignment="1">
      <alignment horizontal="left"/>
    </xf>
    <xf numFmtId="167" fontId="11" fillId="0" borderId="0" xfId="0" applyNumberFormat="1" applyFont="1"/>
    <xf numFmtId="166" fontId="11" fillId="0" borderId="0" xfId="0" applyNumberFormat="1" applyFont="1"/>
    <xf numFmtId="170" fontId="11" fillId="0" borderId="0" xfId="0" applyNumberFormat="1" applyFont="1"/>
    <xf numFmtId="168" fontId="11" fillId="0" borderId="0" xfId="0" applyNumberFormat="1" applyFont="1" applyAlignment="1">
      <alignment horizontal="right"/>
    </xf>
    <xf numFmtId="169" fontId="11" fillId="0" borderId="0" xfId="0" applyNumberFormat="1" applyFont="1"/>
    <xf numFmtId="167" fontId="11" fillId="4" borderId="0" xfId="0" applyNumberFormat="1" applyFont="1" applyFill="1"/>
    <xf numFmtId="0" fontId="3" fillId="0" borderId="1" xfId="0" applyFont="1" applyBorder="1" applyAlignment="1">
      <alignment horizontal="left"/>
    </xf>
    <xf numFmtId="167" fontId="3" fillId="0" borderId="1" xfId="0" applyNumberFormat="1" applyFont="1" applyBorder="1"/>
    <xf numFmtId="166" fontId="3" fillId="0" borderId="0" xfId="0" applyNumberFormat="1" applyFont="1"/>
    <xf numFmtId="43" fontId="3" fillId="0" borderId="0" xfId="0" applyNumberFormat="1" applyFont="1"/>
    <xf numFmtId="0" fontId="2" fillId="0" borderId="0" xfId="0" applyFont="1" applyAlignment="1">
      <alignment horizontal="left"/>
    </xf>
    <xf numFmtId="0" fontId="1" fillId="5" borderId="0" xfId="0" applyFont="1" applyFill="1"/>
    <xf numFmtId="0" fontId="1" fillId="5" borderId="0" xfId="0" applyFont="1" applyFill="1" applyAlignment="1">
      <alignment horizontal="right"/>
    </xf>
    <xf numFmtId="0" fontId="1" fillId="6" borderId="0" xfId="0" applyFont="1" applyFill="1"/>
    <xf numFmtId="0" fontId="4" fillId="6" borderId="0" xfId="0" applyFont="1" applyFill="1"/>
    <xf numFmtId="164" fontId="1" fillId="5" borderId="0" xfId="0" applyNumberFormat="1" applyFont="1" applyFill="1" applyAlignment="1">
      <alignment horizontal="right"/>
    </xf>
    <xf numFmtId="0" fontId="12" fillId="0" borderId="0" xfId="0" applyFont="1"/>
    <xf numFmtId="0" fontId="3" fillId="0" borderId="0" xfId="0" applyFont="1" applyAlignment="1">
      <alignment horizontal="left" indent="1"/>
    </xf>
    <xf numFmtId="10" fontId="3" fillId="0" borderId="0" xfId="0" applyNumberFormat="1" applyFont="1"/>
    <xf numFmtId="9" fontId="3" fillId="0" borderId="0" xfId="0" applyNumberFormat="1" applyFont="1"/>
    <xf numFmtId="9" fontId="3" fillId="0" borderId="0" xfId="2" applyFont="1"/>
    <xf numFmtId="171" fontId="3" fillId="0" borderId="0" xfId="2" applyNumberFormat="1" applyFont="1"/>
    <xf numFmtId="10" fontId="3" fillId="0" borderId="0" xfId="2" applyNumberFormat="1" applyFont="1"/>
    <xf numFmtId="171" fontId="3" fillId="0" borderId="0" xfId="0" applyNumberFormat="1" applyFont="1"/>
    <xf numFmtId="43" fontId="3" fillId="0" borderId="0" xfId="1" applyFont="1"/>
    <xf numFmtId="9" fontId="0" fillId="0" borderId="0" xfId="2" applyFont="1"/>
    <xf numFmtId="9" fontId="0" fillId="0" borderId="0" xfId="0" applyNumberFormat="1"/>
    <xf numFmtId="171" fontId="0" fillId="0" borderId="0" xfId="0" applyNumberFormat="1"/>
    <xf numFmtId="43" fontId="0" fillId="0" borderId="0" xfId="1" applyFont="1"/>
    <xf numFmtId="0" fontId="3" fillId="0" borderId="1" xfId="0" applyFont="1" applyBorder="1"/>
    <xf numFmtId="167" fontId="11" fillId="0" borderId="1" xfId="0" applyNumberFormat="1" applyFont="1" applyBorder="1"/>
    <xf numFmtId="0" fontId="12" fillId="0" borderId="1" xfId="0" applyFont="1" applyBorder="1"/>
    <xf numFmtId="167" fontId="2" fillId="0" borderId="1" xfId="0" applyNumberFormat="1" applyFont="1" applyBorder="1"/>
    <xf numFmtId="166" fontId="11" fillId="0" borderId="1" xfId="0" applyNumberFormat="1" applyFont="1" applyBorder="1"/>
    <xf numFmtId="166" fontId="2" fillId="0" borderId="1" xfId="0" applyNumberFormat="1" applyFont="1" applyBorder="1"/>
    <xf numFmtId="0" fontId="12" fillId="0" borderId="1" xfId="0" applyFont="1" applyBorder="1" applyAlignment="1">
      <alignment horizontal="left"/>
    </xf>
    <xf numFmtId="167" fontId="11" fillId="4" borderId="1" xfId="0" applyNumberFormat="1" applyFont="1" applyFill="1" applyBorder="1"/>
    <xf numFmtId="167" fontId="3" fillId="0" borderId="0" xfId="0" applyNumberFormat="1" applyFont="1"/>
    <xf numFmtId="43" fontId="13" fillId="4" borderId="0" xfId="0" applyNumberFormat="1" applyFont="1" applyFill="1"/>
    <xf numFmtId="10" fontId="3" fillId="4" borderId="0" xfId="2" applyNumberFormat="1" applyFont="1" applyFill="1"/>
    <xf numFmtId="10" fontId="13" fillId="4" borderId="0" xfId="2" applyNumberFormat="1" applyFont="1" applyFill="1"/>
    <xf numFmtId="0" fontId="3" fillId="0" borderId="0" xfId="0" applyFont="1" applyAlignment="1">
      <alignment horizontal="left" indent="2"/>
    </xf>
    <xf numFmtId="10" fontId="3" fillId="0" borderId="0" xfId="2" applyNumberFormat="1" applyFont="1" applyFill="1"/>
    <xf numFmtId="43" fontId="3" fillId="0" borderId="0" xfId="1" applyFont="1" applyFill="1"/>
    <xf numFmtId="0" fontId="0" fillId="0" borderId="2" xfId="0" applyBorder="1"/>
    <xf numFmtId="0" fontId="8" fillId="0" borderId="3" xfId="0" applyFont="1" applyBorder="1"/>
    <xf numFmtId="167" fontId="12" fillId="0" borderId="0" xfId="0" applyNumberFormat="1" applyFont="1"/>
    <xf numFmtId="167" fontId="12" fillId="0" borderId="1" xfId="0" applyNumberFormat="1" applyFont="1" applyBorder="1"/>
    <xf numFmtId="167" fontId="2" fillId="0" borderId="0" xfId="0" applyNumberFormat="1" applyFont="1"/>
    <xf numFmtId="9" fontId="2" fillId="0" borderId="0" xfId="2" applyFont="1" applyBorder="1"/>
    <xf numFmtId="9" fontId="13" fillId="4" borderId="0" xfId="0" applyNumberFormat="1" applyFont="1" applyFill="1"/>
    <xf numFmtId="0" fontId="13" fillId="4" borderId="0" xfId="0" applyFont="1" applyFill="1"/>
    <xf numFmtId="167" fontId="13" fillId="4" borderId="0" xfId="0" applyNumberFormat="1" applyFont="1" applyFill="1"/>
    <xf numFmtId="171" fontId="13" fillId="4" borderId="0" xfId="0" applyNumberFormat="1" applyFont="1" applyFill="1"/>
    <xf numFmtId="0" fontId="3" fillId="0" borderId="0" xfId="0" applyFont="1" applyAlignment="1">
      <alignment horizontal="left" indent="3"/>
    </xf>
    <xf numFmtId="0" fontId="7" fillId="5" borderId="0" xfId="0" applyFont="1" applyFill="1"/>
    <xf numFmtId="173" fontId="0" fillId="0" borderId="0" xfId="1" applyNumberFormat="1" applyFont="1"/>
    <xf numFmtId="0" fontId="3" fillId="7" borderId="0" xfId="0" applyFont="1" applyFill="1"/>
    <xf numFmtId="0" fontId="2" fillId="7" borderId="0" xfId="0" applyFont="1" applyFill="1"/>
    <xf numFmtId="0" fontId="3" fillId="0" borderId="2" xfId="0" applyFont="1" applyBorder="1"/>
    <xf numFmtId="0" fontId="12" fillId="0" borderId="2" xfId="0" applyFont="1" applyBorder="1"/>
    <xf numFmtId="0" fontId="12" fillId="7" borderId="0" xfId="0" applyFont="1" applyFill="1"/>
    <xf numFmtId="0" fontId="1" fillId="5" borderId="2" xfId="0" applyFont="1" applyFill="1" applyBorder="1"/>
    <xf numFmtId="174" fontId="3" fillId="0" borderId="0" xfId="1" applyNumberFormat="1" applyFont="1"/>
    <xf numFmtId="9" fontId="3" fillId="0" borderId="0" xfId="2" applyFont="1" applyFill="1"/>
    <xf numFmtId="9" fontId="13" fillId="0" borderId="0" xfId="0" applyNumberFormat="1" applyFont="1"/>
    <xf numFmtId="0" fontId="15" fillId="0" borderId="0" xfId="0" applyFont="1" applyAlignment="1">
      <alignment horizontal="left" indent="1"/>
    </xf>
    <xf numFmtId="9" fontId="11" fillId="0" borderId="0" xfId="2" applyFont="1"/>
    <xf numFmtId="171" fontId="16" fillId="0" borderId="0" xfId="2" applyNumberFormat="1" applyFont="1"/>
    <xf numFmtId="9" fontId="3" fillId="0" borderId="1" xfId="0" applyNumberFormat="1" applyFont="1" applyBorder="1"/>
    <xf numFmtId="0" fontId="12" fillId="0" borderId="1" xfId="0" applyFont="1" applyBorder="1" applyAlignment="1">
      <alignment horizontal="right"/>
    </xf>
    <xf numFmtId="9" fontId="12" fillId="0" borderId="1" xfId="0" applyNumberFormat="1" applyFont="1" applyBorder="1"/>
    <xf numFmtId="174" fontId="13" fillId="0" borderId="0" xfId="1" applyNumberFormat="1" applyFont="1"/>
    <xf numFmtId="0" fontId="18" fillId="4" borderId="0" xfId="0" applyFont="1" applyFill="1"/>
    <xf numFmtId="174" fontId="18" fillId="4" borderId="0" xfId="1" applyNumberFormat="1" applyFont="1" applyFill="1"/>
    <xf numFmtId="9" fontId="13" fillId="0" borderId="0" xfId="2" applyFont="1"/>
    <xf numFmtId="0" fontId="19" fillId="8" borderId="3" xfId="0" applyFont="1" applyFill="1" applyBorder="1"/>
    <xf numFmtId="171" fontId="13" fillId="0" borderId="0" xfId="0" applyNumberFormat="1" applyFont="1"/>
    <xf numFmtId="171" fontId="20" fillId="4" borderId="0" xfId="2" applyNumberFormat="1" applyFont="1" applyFill="1"/>
    <xf numFmtId="9" fontId="3" fillId="0" borderId="5" xfId="0" applyNumberFormat="1" applyFont="1" applyBorder="1"/>
    <xf numFmtId="167" fontId="11" fillId="0" borderId="5" xfId="0" applyNumberFormat="1" applyFont="1" applyBorder="1"/>
    <xf numFmtId="9" fontId="12" fillId="0" borderId="0" xfId="2" applyFont="1"/>
    <xf numFmtId="2" fontId="3" fillId="0" borderId="0" xfId="0" applyNumberFormat="1" applyFont="1"/>
    <xf numFmtId="2" fontId="13" fillId="4" borderId="0" xfId="0" applyNumberFormat="1" applyFont="1" applyFill="1"/>
    <xf numFmtId="14" fontId="3" fillId="0" borderId="0" xfId="0" applyNumberFormat="1" applyFont="1"/>
    <xf numFmtId="166" fontId="3" fillId="0" borderId="1" xfId="0" applyNumberFormat="1" applyFont="1" applyBorder="1"/>
    <xf numFmtId="10" fontId="13" fillId="0" borderId="0" xfId="2" applyNumberFormat="1" applyFont="1" applyFill="1"/>
    <xf numFmtId="167" fontId="13" fillId="0" borderId="0" xfId="0" applyNumberFormat="1" applyFont="1"/>
    <xf numFmtId="0" fontId="1" fillId="2" borderId="0" xfId="3" applyFont="1" applyFill="1"/>
    <xf numFmtId="0" fontId="3" fillId="0" borderId="0" xfId="3" applyFont="1"/>
    <xf numFmtId="14" fontId="21" fillId="4" borderId="0" xfId="3" applyNumberFormat="1" applyFont="1" applyFill="1"/>
    <xf numFmtId="9" fontId="11" fillId="0" borderId="0" xfId="3" applyNumberFormat="1" applyFont="1"/>
    <xf numFmtId="9" fontId="21" fillId="4" borderId="0" xfId="3" applyNumberFormat="1" applyFont="1" applyFill="1"/>
    <xf numFmtId="171" fontId="21" fillId="4" borderId="0" xfId="3" applyNumberFormat="1" applyFont="1" applyFill="1"/>
    <xf numFmtId="0" fontId="12" fillId="7" borderId="5" xfId="3" applyFont="1" applyFill="1" applyBorder="1"/>
    <xf numFmtId="164" fontId="12" fillId="7" borderId="6" xfId="3" applyNumberFormat="1" applyFont="1" applyFill="1" applyBorder="1" applyAlignment="1">
      <alignment horizontal="right"/>
    </xf>
    <xf numFmtId="165" fontId="12" fillId="7" borderId="5" xfId="3" applyNumberFormat="1" applyFont="1" applyFill="1" applyBorder="1" applyAlignment="1">
      <alignment horizontal="right"/>
    </xf>
    <xf numFmtId="0" fontId="12" fillId="7" borderId="7" xfId="3" applyFont="1" applyFill="1" applyBorder="1" applyAlignment="1">
      <alignment horizontal="right" wrapText="1"/>
    </xf>
    <xf numFmtId="0" fontId="3" fillId="0" borderId="8" xfId="3" applyFont="1" applyBorder="1"/>
    <xf numFmtId="0" fontId="3" fillId="0" borderId="9" xfId="3" applyFont="1" applyBorder="1"/>
    <xf numFmtId="173" fontId="3" fillId="0" borderId="8" xfId="4" applyNumberFormat="1" applyFont="1" applyBorder="1" applyAlignment="1">
      <alignment horizontal="right"/>
    </xf>
    <xf numFmtId="173" fontId="3" fillId="0" borderId="0" xfId="4" applyNumberFormat="1" applyFont="1" applyAlignment="1">
      <alignment horizontal="right"/>
    </xf>
    <xf numFmtId="173" fontId="3" fillId="0" borderId="9" xfId="4" applyNumberFormat="1" applyFont="1" applyBorder="1" applyAlignment="1">
      <alignment horizontal="right"/>
    </xf>
    <xf numFmtId="9" fontId="15" fillId="0" borderId="8" xfId="5" applyFont="1" applyBorder="1" applyAlignment="1">
      <alignment horizontal="right"/>
    </xf>
    <xf numFmtId="9" fontId="15" fillId="0" borderId="0" xfId="5" applyFont="1" applyAlignment="1">
      <alignment horizontal="right"/>
    </xf>
    <xf numFmtId="9" fontId="16" fillId="0" borderId="0" xfId="5" applyFont="1" applyAlignment="1">
      <alignment horizontal="right"/>
    </xf>
    <xf numFmtId="9" fontId="16" fillId="0" borderId="0" xfId="3" applyNumberFormat="1" applyFont="1" applyAlignment="1">
      <alignment horizontal="right"/>
    </xf>
    <xf numFmtId="9" fontId="16" fillId="0" borderId="9" xfId="3" applyNumberFormat="1" applyFont="1" applyBorder="1" applyAlignment="1">
      <alignment horizontal="right"/>
    </xf>
    <xf numFmtId="0" fontId="3" fillId="0" borderId="8" xfId="3" applyFont="1" applyBorder="1" applyAlignment="1">
      <alignment horizontal="right"/>
    </xf>
    <xf numFmtId="0" fontId="3" fillId="0" borderId="0" xfId="3" applyFont="1" applyAlignment="1">
      <alignment horizontal="right"/>
    </xf>
    <xf numFmtId="0" fontId="3" fillId="0" borderId="9" xfId="3" applyFont="1" applyBorder="1" applyAlignment="1">
      <alignment horizontal="right"/>
    </xf>
    <xf numFmtId="9" fontId="15" fillId="0" borderId="9" xfId="5" applyFont="1" applyBorder="1" applyAlignment="1">
      <alignment horizontal="right"/>
    </xf>
    <xf numFmtId="173" fontId="11" fillId="0" borderId="8" xfId="4" applyNumberFormat="1" applyFont="1" applyFill="1" applyBorder="1" applyAlignment="1">
      <alignment horizontal="right"/>
    </xf>
    <xf numFmtId="173" fontId="11" fillId="0" borderId="0" xfId="4" applyNumberFormat="1" applyFont="1" applyFill="1" applyAlignment="1">
      <alignment horizontal="right"/>
    </xf>
    <xf numFmtId="173" fontId="11" fillId="0" borderId="9" xfId="4" applyNumberFormat="1" applyFont="1" applyFill="1" applyBorder="1" applyAlignment="1">
      <alignment horizontal="right"/>
    </xf>
    <xf numFmtId="0" fontId="11" fillId="0" borderId="0" xfId="3" applyFont="1"/>
    <xf numFmtId="0" fontId="12" fillId="0" borderId="5" xfId="3" applyFont="1" applyBorder="1"/>
    <xf numFmtId="173" fontId="2" fillId="0" borderId="6" xfId="4" applyNumberFormat="1" applyFont="1" applyFill="1" applyBorder="1" applyAlignment="1">
      <alignment horizontal="right"/>
    </xf>
    <xf numFmtId="173" fontId="2" fillId="0" borderId="5" xfId="4" applyNumberFormat="1" applyFont="1" applyFill="1" applyBorder="1" applyAlignment="1">
      <alignment horizontal="right"/>
    </xf>
    <xf numFmtId="173" fontId="2" fillId="0" borderId="7" xfId="4" applyNumberFormat="1" applyFont="1" applyFill="1" applyBorder="1" applyAlignment="1">
      <alignment horizontal="right"/>
    </xf>
    <xf numFmtId="0" fontId="12" fillId="0" borderId="0" xfId="3" applyFont="1"/>
    <xf numFmtId="173" fontId="2" fillId="0" borderId="8" xfId="4" applyNumberFormat="1" applyFont="1" applyFill="1" applyBorder="1" applyAlignment="1">
      <alignment horizontal="right"/>
    </xf>
    <xf numFmtId="173" fontId="2" fillId="0" borderId="0" xfId="4" applyNumberFormat="1" applyFont="1" applyFill="1" applyBorder="1" applyAlignment="1">
      <alignment horizontal="right"/>
    </xf>
    <xf numFmtId="173" fontId="2" fillId="0" borderId="9" xfId="4" applyNumberFormat="1" applyFont="1" applyFill="1" applyBorder="1" applyAlignment="1">
      <alignment horizontal="right"/>
    </xf>
    <xf numFmtId="0" fontId="17" fillId="0" borderId="0" xfId="3" applyFont="1"/>
    <xf numFmtId="0" fontId="17" fillId="0" borderId="8" xfId="3" applyFont="1" applyBorder="1" applyAlignment="1">
      <alignment horizontal="right"/>
    </xf>
    <xf numFmtId="43" fontId="17" fillId="0" borderId="0" xfId="4" applyFont="1" applyAlignment="1">
      <alignment horizontal="right"/>
    </xf>
    <xf numFmtId="43" fontId="17" fillId="0" borderId="9" xfId="4" applyFont="1" applyBorder="1" applyAlignment="1">
      <alignment horizontal="right"/>
    </xf>
    <xf numFmtId="172" fontId="17" fillId="0" borderId="8" xfId="3" applyNumberFormat="1" applyFont="1" applyBorder="1" applyAlignment="1">
      <alignment horizontal="right"/>
    </xf>
    <xf numFmtId="0" fontId="15" fillId="0" borderId="0" xfId="3" applyFont="1"/>
    <xf numFmtId="175" fontId="3" fillId="0" borderId="8" xfId="3" applyNumberFormat="1" applyFont="1" applyBorder="1" applyAlignment="1">
      <alignment horizontal="right"/>
    </xf>
    <xf numFmtId="173" fontId="15" fillId="0" borderId="0" xfId="4" applyNumberFormat="1" applyFont="1" applyAlignment="1">
      <alignment horizontal="right"/>
    </xf>
    <xf numFmtId="173" fontId="15" fillId="0" borderId="8" xfId="4" applyNumberFormat="1" applyFont="1" applyBorder="1" applyAlignment="1">
      <alignment horizontal="right"/>
    </xf>
    <xf numFmtId="0" fontId="3" fillId="7" borderId="5" xfId="3" applyFont="1" applyFill="1" applyBorder="1"/>
    <xf numFmtId="171" fontId="11" fillId="0" borderId="0" xfId="3" applyNumberFormat="1" applyFont="1"/>
    <xf numFmtId="171" fontId="3" fillId="0" borderId="0" xfId="3" applyNumberFormat="1" applyFont="1"/>
    <xf numFmtId="175" fontId="3" fillId="0" borderId="0" xfId="3" applyNumberFormat="1" applyFont="1"/>
    <xf numFmtId="175" fontId="12" fillId="0" borderId="1" xfId="3" applyNumberFormat="1" applyFont="1" applyBorder="1"/>
    <xf numFmtId="0" fontId="12" fillId="7" borderId="10" xfId="3" applyFont="1" applyFill="1" applyBorder="1"/>
    <xf numFmtId="175" fontId="12" fillId="7" borderId="11" xfId="3" applyNumberFormat="1" applyFont="1" applyFill="1" applyBorder="1"/>
    <xf numFmtId="176" fontId="12" fillId="7" borderId="11" xfId="3" applyNumberFormat="1" applyFont="1" applyFill="1" applyBorder="1"/>
    <xf numFmtId="177" fontId="12" fillId="0" borderId="0" xfId="3" applyNumberFormat="1" applyFont="1"/>
    <xf numFmtId="178" fontId="3" fillId="0" borderId="0" xfId="6" applyNumberFormat="1" applyFont="1"/>
    <xf numFmtId="0" fontId="17" fillId="0" borderId="10" xfId="3" applyFont="1" applyBorder="1"/>
    <xf numFmtId="0" fontId="17" fillId="0" borderId="5" xfId="3" applyFont="1" applyBorder="1"/>
    <xf numFmtId="10" fontId="17" fillId="0" borderId="11" xfId="5" applyNumberFormat="1" applyFont="1" applyBorder="1" applyAlignment="1">
      <alignment vertical="center"/>
    </xf>
    <xf numFmtId="0" fontId="12" fillId="0" borderId="2" xfId="3" applyFont="1" applyBorder="1"/>
    <xf numFmtId="174" fontId="3" fillId="0" borderId="0" xfId="4" applyNumberFormat="1" applyFont="1"/>
    <xf numFmtId="173" fontId="3" fillId="0" borderId="0" xfId="3" applyNumberFormat="1" applyFont="1"/>
    <xf numFmtId="179" fontId="3" fillId="0" borderId="0" xfId="3" applyNumberFormat="1" applyFont="1"/>
    <xf numFmtId="0" fontId="23" fillId="0" borderId="0" xfId="3" applyFont="1"/>
    <xf numFmtId="0" fontId="11" fillId="7" borderId="12" xfId="3" applyFont="1" applyFill="1" applyBorder="1"/>
    <xf numFmtId="0" fontId="11" fillId="7" borderId="1" xfId="3" applyFont="1" applyFill="1" applyBorder="1"/>
    <xf numFmtId="0" fontId="2" fillId="7" borderId="5" xfId="3" applyFont="1" applyFill="1" applyBorder="1" applyAlignment="1">
      <alignment horizontal="centerContinuous"/>
    </xf>
    <xf numFmtId="0" fontId="11" fillId="7" borderId="13" xfId="3" applyFont="1" applyFill="1" applyBorder="1"/>
    <xf numFmtId="177" fontId="4" fillId="0" borderId="12" xfId="3" applyNumberFormat="1" applyFont="1" applyBorder="1"/>
    <xf numFmtId="10" fontId="2" fillId="0" borderId="5" xfId="5" applyNumberFormat="1" applyFont="1" applyBorder="1"/>
    <xf numFmtId="10" fontId="18" fillId="0" borderId="5" xfId="3" applyNumberFormat="1" applyFont="1" applyBorder="1"/>
    <xf numFmtId="10" fontId="3" fillId="0" borderId="0" xfId="5" applyNumberFormat="1" applyFont="1"/>
    <xf numFmtId="0" fontId="11" fillId="7" borderId="13" xfId="3" applyFont="1" applyFill="1" applyBorder="1" applyAlignment="1">
      <alignment horizontal="centerContinuous"/>
    </xf>
    <xf numFmtId="10" fontId="2" fillId="0" borderId="14" xfId="5" applyNumberFormat="1" applyFont="1" applyBorder="1"/>
    <xf numFmtId="176" fontId="11" fillId="0" borderId="0" xfId="4" applyNumberFormat="1" applyFont="1"/>
    <xf numFmtId="0" fontId="2" fillId="7" borderId="13" xfId="3" applyFont="1" applyFill="1" applyBorder="1" applyAlignment="1">
      <alignment horizontal="centerContinuous"/>
    </xf>
    <xf numFmtId="4" fontId="11" fillId="0" borderId="0" xfId="4" applyNumberFormat="1" applyFont="1"/>
    <xf numFmtId="177" fontId="11" fillId="0" borderId="12" xfId="3" applyNumberFormat="1" applyFont="1" applyBorder="1"/>
    <xf numFmtId="171" fontId="11" fillId="0" borderId="0" xfId="5" applyNumberFormat="1" applyFont="1"/>
    <xf numFmtId="0" fontId="1" fillId="9" borderId="0" xfId="0" applyFont="1" applyFill="1"/>
    <xf numFmtId="0" fontId="13" fillId="0" borderId="0" xfId="0" applyFont="1" applyAlignment="1">
      <alignment horizontal="right"/>
    </xf>
    <xf numFmtId="8" fontId="13" fillId="0" borderId="0" xfId="0" applyNumberFormat="1" applyFont="1" applyAlignment="1">
      <alignment horizontal="right"/>
    </xf>
    <xf numFmtId="14" fontId="24" fillId="0" borderId="0" xfId="0" applyNumberFormat="1" applyFont="1"/>
    <xf numFmtId="2" fontId="13" fillId="0" borderId="0" xfId="0" applyNumberFormat="1" applyFont="1" applyAlignment="1">
      <alignment horizontal="right"/>
    </xf>
    <xf numFmtId="0" fontId="3" fillId="7" borderId="3" xfId="0" applyFont="1" applyFill="1" applyBorder="1"/>
    <xf numFmtId="0" fontId="3" fillId="7" borderId="15" xfId="0" applyFont="1" applyFill="1" applyBorder="1"/>
    <xf numFmtId="0" fontId="12" fillId="7" borderId="15" xfId="0" applyFont="1" applyFill="1" applyBorder="1"/>
    <xf numFmtId="0" fontId="12" fillId="7" borderId="4" xfId="0" applyFont="1" applyFill="1" applyBorder="1"/>
    <xf numFmtId="0" fontId="12" fillId="7" borderId="3" xfId="0" applyFont="1" applyFill="1" applyBorder="1"/>
    <xf numFmtId="172" fontId="3" fillId="0" borderId="0" xfId="0" applyNumberFormat="1" applyFont="1"/>
    <xf numFmtId="8" fontId="3" fillId="0" borderId="0" xfId="0" applyNumberFormat="1" applyFont="1"/>
    <xf numFmtId="9" fontId="13" fillId="0" borderId="2" xfId="2" applyFont="1" applyBorder="1"/>
    <xf numFmtId="172" fontId="3" fillId="0" borderId="1" xfId="0" applyNumberFormat="1" applyFont="1" applyBorder="1"/>
    <xf numFmtId="0" fontId="12" fillId="0" borderId="5" xfId="0" applyFont="1" applyBorder="1"/>
    <xf numFmtId="6" fontId="12" fillId="0" borderId="5" xfId="0" applyNumberFormat="1" applyFont="1" applyBorder="1"/>
    <xf numFmtId="43" fontId="13" fillId="0" borderId="0" xfId="1" applyFont="1"/>
    <xf numFmtId="2" fontId="12" fillId="0" borderId="5" xfId="0" applyNumberFormat="1" applyFont="1" applyBorder="1"/>
    <xf numFmtId="3" fontId="3" fillId="0" borderId="0" xfId="0" applyNumberFormat="1" applyFont="1"/>
    <xf numFmtId="3" fontId="3" fillId="0" borderId="1" xfId="0" applyNumberFormat="1" applyFont="1" applyBorder="1"/>
    <xf numFmtId="14" fontId="0" fillId="0" borderId="0" xfId="0" applyNumberFormat="1"/>
    <xf numFmtId="0" fontId="0" fillId="0" borderId="0" xfId="0" quotePrefix="1"/>
    <xf numFmtId="44" fontId="0" fillId="0" borderId="0" xfId="0" applyNumberFormat="1"/>
    <xf numFmtId="10" fontId="14" fillId="0" borderId="0" xfId="0" applyNumberFormat="1" applyFont="1"/>
    <xf numFmtId="179" fontId="0" fillId="0" borderId="0" xfId="1" applyNumberFormat="1" applyFont="1"/>
    <xf numFmtId="3" fontId="0" fillId="0" borderId="0" xfId="0" applyNumberFormat="1"/>
    <xf numFmtId="4" fontId="0" fillId="0" borderId="0" xfId="0" applyNumberFormat="1"/>
    <xf numFmtId="0" fontId="0" fillId="0" borderId="0" xfId="0" quotePrefix="1" applyAlignment="1">
      <alignment horizontal="right"/>
    </xf>
    <xf numFmtId="179" fontId="0" fillId="0" borderId="0" xfId="0" applyNumberFormat="1"/>
    <xf numFmtId="180" fontId="0" fillId="0" borderId="0" xfId="0" applyNumberFormat="1"/>
    <xf numFmtId="0" fontId="8" fillId="0" borderId="1" xfId="0" applyFont="1" applyBorder="1"/>
    <xf numFmtId="180" fontId="8" fillId="0" borderId="1" xfId="0" applyNumberFormat="1" applyFont="1" applyBorder="1"/>
    <xf numFmtId="0" fontId="25" fillId="0" borderId="0" xfId="0" applyFont="1" applyAlignment="1">
      <alignment horizontal="left" indent="1"/>
    </xf>
    <xf numFmtId="179" fontId="25" fillId="0" borderId="0" xfId="0" applyNumberFormat="1" applyFont="1"/>
    <xf numFmtId="37" fontId="0" fillId="0" borderId="0" xfId="0" applyNumberFormat="1"/>
    <xf numFmtId="181" fontId="0" fillId="0" borderId="0" xfId="0" applyNumberFormat="1"/>
    <xf numFmtId="9" fontId="8" fillId="0" borderId="4" xfId="2" applyFont="1" applyBorder="1"/>
    <xf numFmtId="8" fontId="0" fillId="0" borderId="0" xfId="0" applyNumberFormat="1"/>
    <xf numFmtId="172" fontId="19" fillId="8" borderId="4" xfId="0" applyNumberFormat="1" applyFont="1" applyFill="1" applyBorder="1"/>
    <xf numFmtId="0" fontId="22" fillId="0" borderId="10" xfId="3" applyFont="1" applyBorder="1"/>
    <xf numFmtId="0" fontId="22" fillId="0" borderId="5" xfId="3" applyFont="1" applyBorder="1"/>
    <xf numFmtId="9" fontId="26" fillId="0" borderId="11" xfId="3" applyNumberFormat="1" applyFont="1" applyBorder="1"/>
    <xf numFmtId="0" fontId="22" fillId="0" borderId="0" xfId="3" applyFont="1"/>
    <xf numFmtId="0" fontId="22" fillId="7" borderId="0" xfId="3" applyFont="1" applyFill="1"/>
    <xf numFmtId="0" fontId="22" fillId="7" borderId="0" xfId="3" applyFont="1" applyFill="1" applyAlignment="1">
      <alignment horizontal="centerContinuous"/>
    </xf>
    <xf numFmtId="0" fontId="27" fillId="7" borderId="5" xfId="3" applyFont="1" applyFill="1" applyBorder="1" applyAlignment="1">
      <alignment horizontal="centerContinuous" vertical="center"/>
    </xf>
    <xf numFmtId="0" fontId="27" fillId="7" borderId="5" xfId="3" applyFont="1" applyFill="1" applyBorder="1" applyAlignment="1">
      <alignment horizontal="center" vertical="center" wrapText="1"/>
    </xf>
    <xf numFmtId="0" fontId="22" fillId="7" borderId="0" xfId="3" applyFont="1" applyFill="1" applyAlignment="1">
      <alignment horizontal="center"/>
    </xf>
    <xf numFmtId="0" fontId="27" fillId="7" borderId="0" xfId="3" applyFont="1" applyFill="1" applyAlignment="1">
      <alignment horizontal="center"/>
    </xf>
    <xf numFmtId="0" fontId="27" fillId="0" borderId="2" xfId="3" applyFont="1" applyBorder="1"/>
    <xf numFmtId="0" fontId="22" fillId="0" borderId="3" xfId="3" applyFont="1" applyBorder="1"/>
    <xf numFmtId="0" fontId="22" fillId="0" borderId="15" xfId="3" applyFont="1" applyBorder="1"/>
    <xf numFmtId="182" fontId="22" fillId="0" borderId="15" xfId="4" applyNumberFormat="1" applyFont="1" applyFill="1" applyBorder="1"/>
    <xf numFmtId="173" fontId="22" fillId="0" borderId="15" xfId="4" applyNumberFormat="1" applyFont="1" applyBorder="1"/>
    <xf numFmtId="9" fontId="22" fillId="0" borderId="15" xfId="5" applyFont="1" applyBorder="1"/>
    <xf numFmtId="182" fontId="22" fillId="0" borderId="4" xfId="4" applyNumberFormat="1" applyFont="1" applyBorder="1"/>
    <xf numFmtId="171" fontId="22" fillId="0" borderId="0" xfId="5" applyNumberFormat="1" applyFont="1"/>
    <xf numFmtId="182" fontId="22" fillId="0" borderId="0" xfId="4" applyNumberFormat="1" applyFont="1"/>
    <xf numFmtId="173" fontId="22" fillId="0" borderId="0" xfId="4" applyNumberFormat="1" applyFont="1"/>
    <xf numFmtId="0" fontId="28" fillId="2" borderId="0" xfId="3" applyFont="1" applyFill="1"/>
    <xf numFmtId="182" fontId="28" fillId="2" borderId="0" xfId="4" applyNumberFormat="1" applyFont="1" applyFill="1"/>
    <xf numFmtId="173" fontId="28" fillId="2" borderId="0" xfId="4" applyNumberFormat="1" applyFont="1" applyFill="1"/>
    <xf numFmtId="182" fontId="22" fillId="0" borderId="0" xfId="4" applyNumberFormat="1" applyFont="1" applyFill="1"/>
    <xf numFmtId="9" fontId="22" fillId="0" borderId="0" xfId="5" applyFont="1"/>
    <xf numFmtId="0" fontId="27" fillId="0" borderId="16" xfId="3" applyFont="1" applyBorder="1"/>
    <xf numFmtId="0" fontId="27" fillId="0" borderId="17" xfId="3" applyFont="1" applyBorder="1"/>
    <xf numFmtId="182" fontId="27" fillId="0" borderId="17" xfId="4" applyNumberFormat="1" applyFont="1" applyBorder="1"/>
    <xf numFmtId="173" fontId="27" fillId="0" borderId="17" xfId="4" applyNumberFormat="1" applyFont="1" applyBorder="1"/>
    <xf numFmtId="9" fontId="27" fillId="0" borderId="17" xfId="5" applyFont="1" applyBorder="1"/>
    <xf numFmtId="182" fontId="27" fillId="0" borderId="18" xfId="4" applyNumberFormat="1" applyFont="1" applyBorder="1"/>
    <xf numFmtId="0" fontId="27" fillId="0" borderId="19" xfId="3" applyFont="1" applyBorder="1"/>
    <xf numFmtId="0" fontId="27" fillId="0" borderId="20" xfId="3" applyFont="1" applyBorder="1"/>
    <xf numFmtId="182" fontId="27" fillId="0" borderId="20" xfId="4" applyNumberFormat="1" applyFont="1" applyBorder="1"/>
    <xf numFmtId="173" fontId="27" fillId="0" borderId="20" xfId="4" applyNumberFormat="1" applyFont="1" applyBorder="1"/>
    <xf numFmtId="9" fontId="27" fillId="0" borderId="20" xfId="5" applyFont="1" applyBorder="1"/>
    <xf numFmtId="182" fontId="27" fillId="0" borderId="21" xfId="4" applyNumberFormat="1" applyFont="1" applyBorder="1"/>
    <xf numFmtId="0" fontId="22" fillId="7" borderId="12" xfId="3" applyFont="1" applyFill="1" applyBorder="1"/>
    <xf numFmtId="0" fontId="22" fillId="7" borderId="1" xfId="3" applyFont="1" applyFill="1" applyBorder="1"/>
    <xf numFmtId="182" fontId="22" fillId="7" borderId="1" xfId="4" applyNumberFormat="1" applyFont="1" applyFill="1" applyBorder="1"/>
    <xf numFmtId="173" fontId="22" fillId="7" borderId="1" xfId="4" applyNumberFormat="1" applyFont="1" applyFill="1" applyBorder="1"/>
    <xf numFmtId="0" fontId="29" fillId="7" borderId="22" xfId="3" applyFont="1" applyFill="1" applyBorder="1" applyAlignment="1">
      <alignment horizontal="center"/>
    </xf>
    <xf numFmtId="0" fontId="22" fillId="7" borderId="13" xfId="3" applyFont="1" applyFill="1" applyBorder="1"/>
    <xf numFmtId="182" fontId="22" fillId="7" borderId="0" xfId="4" applyNumberFormat="1" applyFont="1" applyFill="1" applyBorder="1"/>
    <xf numFmtId="173" fontId="22" fillId="7" borderId="0" xfId="4" applyNumberFormat="1" applyFont="1" applyFill="1" applyBorder="1"/>
    <xf numFmtId="182" fontId="22" fillId="7" borderId="23" xfId="3" applyNumberFormat="1" applyFont="1" applyFill="1" applyBorder="1"/>
    <xf numFmtId="9" fontId="22" fillId="7" borderId="23" xfId="3" applyNumberFormat="1" applyFont="1" applyFill="1" applyBorder="1"/>
    <xf numFmtId="0" fontId="22" fillId="7" borderId="24" xfId="3" applyFont="1" applyFill="1" applyBorder="1"/>
    <xf numFmtId="0" fontId="22" fillId="7" borderId="2" xfId="3" applyFont="1" applyFill="1" applyBorder="1"/>
    <xf numFmtId="182" fontId="22" fillId="7" borderId="2" xfId="4" applyNumberFormat="1" applyFont="1" applyFill="1" applyBorder="1"/>
    <xf numFmtId="173" fontId="22" fillId="7" borderId="2" xfId="4" applyNumberFormat="1" applyFont="1" applyFill="1" applyBorder="1"/>
    <xf numFmtId="43" fontId="22" fillId="7" borderId="25" xfId="3" applyNumberFormat="1" applyFont="1" applyFill="1" applyBorder="1"/>
    <xf numFmtId="0" fontId="27" fillId="0" borderId="0" xfId="3" applyFont="1"/>
    <xf numFmtId="0" fontId="30" fillId="2" borderId="0" xfId="3" applyFont="1" applyFill="1"/>
    <xf numFmtId="0" fontId="30" fillId="7" borderId="0" xfId="3" applyFont="1" applyFill="1"/>
    <xf numFmtId="0" fontId="31" fillId="7" borderId="0" xfId="3" applyFont="1" applyFill="1" applyAlignment="1">
      <alignment horizontal="centerContinuous" wrapText="1"/>
    </xf>
    <xf numFmtId="0" fontId="30" fillId="7" borderId="0" xfId="3" applyFont="1" applyFill="1" applyAlignment="1">
      <alignment horizontal="centerContinuous" wrapText="1"/>
    </xf>
    <xf numFmtId="0" fontId="30" fillId="7" borderId="20" xfId="3" applyFont="1" applyFill="1" applyBorder="1"/>
    <xf numFmtId="0" fontId="31" fillId="7" borderId="26" xfId="3" applyFont="1" applyFill="1" applyBorder="1" applyAlignment="1">
      <alignment horizontal="center"/>
    </xf>
    <xf numFmtId="0" fontId="31" fillId="0" borderId="0" xfId="3" applyFont="1"/>
    <xf numFmtId="0" fontId="30" fillId="0" borderId="0" xfId="3" applyFont="1"/>
    <xf numFmtId="10" fontId="30" fillId="0" borderId="0" xfId="3" applyNumberFormat="1" applyFont="1"/>
    <xf numFmtId="182" fontId="30" fillId="0" borderId="0" xfId="4" applyNumberFormat="1" applyFont="1"/>
    <xf numFmtId="0" fontId="32" fillId="0" borderId="0" xfId="3" applyFont="1"/>
    <xf numFmtId="0" fontId="30" fillId="0" borderId="0" xfId="3" applyFont="1" applyAlignment="1">
      <alignment horizontal="left" indent="2"/>
    </xf>
    <xf numFmtId="10" fontId="30" fillId="0" borderId="17" xfId="3" applyNumberFormat="1" applyFont="1" applyBorder="1"/>
    <xf numFmtId="10" fontId="31" fillId="0" borderId="17" xfId="3" applyNumberFormat="1" applyFont="1" applyBorder="1"/>
    <xf numFmtId="10" fontId="31" fillId="0" borderId="0" xfId="3" applyNumberFormat="1" applyFont="1"/>
    <xf numFmtId="0" fontId="31" fillId="7" borderId="10" xfId="3" applyFont="1" applyFill="1" applyBorder="1"/>
    <xf numFmtId="0" fontId="31" fillId="7" borderId="5" xfId="3" applyFont="1" applyFill="1" applyBorder="1"/>
    <xf numFmtId="10" fontId="31" fillId="7" borderId="5" xfId="3" applyNumberFormat="1" applyFont="1" applyFill="1" applyBorder="1"/>
    <xf numFmtId="10" fontId="31" fillId="7" borderId="11" xfId="3" applyNumberFormat="1" applyFont="1" applyFill="1" applyBorder="1"/>
    <xf numFmtId="10" fontId="22" fillId="0" borderId="0" xfId="3" applyNumberFormat="1" applyFont="1"/>
    <xf numFmtId="10" fontId="27" fillId="0" borderId="0" xfId="3" applyNumberFormat="1" applyFont="1"/>
    <xf numFmtId="0" fontId="7" fillId="6" borderId="0" xfId="0" applyFont="1" applyFill="1"/>
    <xf numFmtId="164" fontId="1" fillId="5" borderId="0" xfId="0" applyNumberFormat="1" applyFont="1" applyFill="1"/>
    <xf numFmtId="165" fontId="2" fillId="7" borderId="0" xfId="0" applyNumberFormat="1" applyFont="1" applyFill="1"/>
    <xf numFmtId="174" fontId="12" fillId="0" borderId="1" xfId="1" applyNumberFormat="1" applyFont="1" applyBorder="1"/>
    <xf numFmtId="9" fontId="25" fillId="0" borderId="0" xfId="2" applyFont="1"/>
    <xf numFmtId="171" fontId="25" fillId="0" borderId="0" xfId="2" applyNumberFormat="1" applyFont="1"/>
    <xf numFmtId="0" fontId="8" fillId="0" borderId="2" xfId="0" applyFont="1" applyBorder="1"/>
    <xf numFmtId="0" fontId="8" fillId="7" borderId="5" xfId="0" applyFont="1" applyFill="1" applyBorder="1"/>
    <xf numFmtId="0" fontId="8" fillId="0" borderId="0" xfId="0" applyFont="1"/>
    <xf numFmtId="165" fontId="8" fillId="7" borderId="5" xfId="0" applyNumberFormat="1" applyFont="1" applyFill="1" applyBorder="1"/>
    <xf numFmtId="165" fontId="8" fillId="0" borderId="0" xfId="0" applyNumberFormat="1" applyFont="1"/>
    <xf numFmtId="176" fontId="0" fillId="0" borderId="0" xfId="0" applyNumberFormat="1"/>
    <xf numFmtId="0" fontId="8" fillId="0" borderId="27" xfId="0" applyFont="1" applyBorder="1"/>
    <xf numFmtId="9" fontId="8" fillId="0" borderId="28" xfId="2" applyFont="1" applyBorder="1"/>
    <xf numFmtId="0" fontId="8" fillId="0" borderId="29" xfId="0" applyFont="1" applyBorder="1"/>
    <xf numFmtId="43" fontId="8" fillId="0" borderId="30" xfId="1" applyFont="1" applyBorder="1"/>
    <xf numFmtId="174" fontId="3" fillId="0" borderId="0" xfId="0" applyNumberFormat="1" applyFont="1"/>
    <xf numFmtId="9" fontId="3" fillId="0" borderId="1" xfId="2" applyFont="1" applyBorder="1"/>
    <xf numFmtId="171" fontId="12" fillId="0" borderId="1" xfId="0" applyNumberFormat="1" applyFont="1" applyBorder="1"/>
    <xf numFmtId="0" fontId="7" fillId="5" borderId="0" xfId="0" applyFont="1" applyFill="1" applyAlignment="1">
      <alignment horizontal="center"/>
    </xf>
    <xf numFmtId="0" fontId="7" fillId="5" borderId="0" xfId="0" applyFont="1" applyFill="1" applyAlignment="1">
      <alignment horizontal="center" wrapText="1"/>
    </xf>
    <xf numFmtId="167" fontId="13" fillId="0" borderId="0" xfId="0" applyNumberFormat="1" applyFont="1" applyFill="1"/>
    <xf numFmtId="167" fontId="11" fillId="0" borderId="0" xfId="0" applyNumberFormat="1" applyFont="1" applyFill="1"/>
    <xf numFmtId="10" fontId="12" fillId="0" borderId="0" xfId="2" applyNumberFormat="1" applyFont="1"/>
    <xf numFmtId="0" fontId="33" fillId="7" borderId="2" xfId="0" quotePrefix="1" applyFont="1" applyFill="1" applyBorder="1"/>
    <xf numFmtId="14" fontId="8" fillId="7" borderId="2" xfId="0" applyNumberFormat="1" applyFont="1" applyFill="1" applyBorder="1"/>
    <xf numFmtId="0" fontId="8" fillId="0" borderId="5" xfId="0" applyFont="1" applyBorder="1"/>
    <xf numFmtId="0" fontId="0" fillId="0" borderId="5" xfId="0" applyBorder="1"/>
  </cellXfs>
  <cellStyles count="8">
    <cellStyle name="Comma" xfId="1" builtinId="3"/>
    <cellStyle name="Comma 3" xfId="4" xr:uid="{49663257-90D7-49AA-8816-5A9F2D60AA0D}"/>
    <cellStyle name="Currency 2" xfId="6" xr:uid="{B3954B98-7B9B-474B-8D7C-F1D0AF656A6A}"/>
    <cellStyle name="Normal" xfId="0" builtinId="0"/>
    <cellStyle name="Normal 6" xfId="3" xr:uid="{E34020D7-E554-4422-85B5-55DD320C66B4}"/>
    <cellStyle name="Percent" xfId="2" builtinId="5"/>
    <cellStyle name="Percent 2" xfId="7" xr:uid="{1964C172-D532-4C61-A78C-967585B3B7CA}"/>
    <cellStyle name="Percent 3" xfId="5" xr:uid="{39D40781-A07B-466F-87E7-585EAA25DE2B}"/>
  </cellStyles>
  <dxfs count="1">
    <dxf>
      <font>
        <color rgb="FFFF0000"/>
      </font>
    </dxf>
  </dxfs>
  <tableStyles count="0" defaultTableStyle="TableStyleMedium2" defaultPivotStyle="PivotStyleLight16"/>
  <colors>
    <mruColors>
      <color rgb="FFAB2318"/>
      <color rgb="FF451500"/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CME Corn Futures ($/bu)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'Cost Forecast'!$P$60</c:f>
              <c:strCache>
                <c:ptCount val="1"/>
                <c:pt idx="0">
                  <c:v>CME Futures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'Cost Forecast'!$Q$53:$T$53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'Cost Forecast'!$Q$60:$T$60</c:f>
              <c:numCache>
                <c:formatCode>_(* #,##0.00_);_(* \(#,##0.00\);_(* "-"??_);_(@_)</c:formatCode>
                <c:ptCount val="4"/>
                <c:pt idx="0" formatCode="0.00">
                  <c:v>4.2</c:v>
                </c:pt>
                <c:pt idx="1">
                  <c:v>4.75</c:v>
                </c:pt>
                <c:pt idx="2">
                  <c:v>4.8220000000000001</c:v>
                </c:pt>
                <c:pt idx="3">
                  <c:v>4.78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BD-4DBF-B2EE-EA3AFFA3B7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83079471"/>
        <c:axId val="783078511"/>
      </c:barChart>
      <c:catAx>
        <c:axId val="7830794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3078511"/>
        <c:crosses val="autoZero"/>
        <c:auto val="1"/>
        <c:lblAlgn val="ctr"/>
        <c:lblOffset val="100"/>
        <c:noMultiLvlLbl val="0"/>
      </c:catAx>
      <c:valAx>
        <c:axId val="783078511"/>
        <c:scaling>
          <c:orientation val="minMax"/>
        </c:scaling>
        <c:delete val="0"/>
        <c:axPos val="l"/>
        <c:numFmt formatCode="0.00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307947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TTF Nat Gas (Eur/MWh)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'Cost Forecast'!$P$70</c:f>
              <c:strCache>
                <c:ptCount val="1"/>
                <c:pt idx="0">
                  <c:v>Potash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'Cost Forecast'!$Q$53:$T$53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'Cost Forecast'!$Q$68:$R$68</c:f>
              <c:numCache>
                <c:formatCode>0.00</c:formatCode>
                <c:ptCount val="2"/>
                <c:pt idx="0" formatCode="General">
                  <c:v>34.75</c:v>
                </c:pt>
                <c:pt idx="1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BD-4DBF-B2EE-EA3AFFA3B7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83079471"/>
        <c:axId val="783078511"/>
      </c:barChart>
      <c:catAx>
        <c:axId val="7830794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3078511"/>
        <c:crosses val="autoZero"/>
        <c:auto val="1"/>
        <c:lblAlgn val="ctr"/>
        <c:lblOffset val="100"/>
        <c:noMultiLvlLbl val="0"/>
      </c:catAx>
      <c:valAx>
        <c:axId val="78307851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307947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Seasonal Digital Sales as % of Food and Bev Sales Rate of Change 2021-2024A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areaChart>
        <c:grouping val="stacked"/>
        <c:varyColors val="0"/>
        <c:ser>
          <c:idx val="4"/>
          <c:order val="4"/>
          <c:tx>
            <c:strRef>
              <c:f>'Restaurant Forecast'!$C$60</c:f>
              <c:strCache>
                <c:ptCount val="1"/>
                <c:pt idx="0">
                  <c:v>Base</c:v>
                </c:pt>
              </c:strCache>
            </c:strRef>
          </c:tx>
          <c:spPr>
            <a:noFill/>
            <a:ln>
              <a:noFill/>
            </a:ln>
            <a:effectLst/>
          </c:spPr>
          <c:cat>
            <c:strRef>
              <c:f>'Restaurant Forecast'!$D$44:$G$44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'Restaurant Forecast'!$D$60:$G$60</c:f>
              <c:numCache>
                <c:formatCode>0.0%</c:formatCode>
                <c:ptCount val="4"/>
                <c:pt idx="0">
                  <c:v>7.2115384615385469E-3</c:v>
                </c:pt>
                <c:pt idx="1">
                  <c:v>-6.92124105011932E-2</c:v>
                </c:pt>
                <c:pt idx="2">
                  <c:v>-0.11752577319587632</c:v>
                </c:pt>
                <c:pt idx="3">
                  <c:v>-2.8037383177570097E-2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A3-43C8-A593-3D473440B194}"/>
            </c:ext>
          </c:extLst>
        </c:ser>
        <c:ser>
          <c:idx val="5"/>
          <c:order val="5"/>
          <c:tx>
            <c:strRef>
              <c:f>'Restaurant Forecast'!$C$59</c:f>
              <c:strCache>
                <c:ptCount val="1"/>
                <c:pt idx="0">
                  <c:v>Change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bg1">
                  <a:lumMod val="95000"/>
                </a:schemeClr>
              </a:solidFill>
            </a:ln>
            <a:effectLst/>
          </c:spPr>
          <c:cat>
            <c:strRef>
              <c:f>'Restaurant Forecast'!$D$44:$G$44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'Restaurant Forecast'!$D$59:$G$59</c:f>
              <c:numCache>
                <c:formatCode>0.0%</c:formatCode>
                <c:ptCount val="4"/>
                <c:pt idx="0">
                  <c:v>4.3590600575894589E-2</c:v>
                </c:pt>
                <c:pt idx="1">
                  <c:v>3.7276282756682155E-2</c:v>
                </c:pt>
                <c:pt idx="2">
                  <c:v>8.0683667932718417E-2</c:v>
                </c:pt>
                <c:pt idx="3">
                  <c:v>3.3413727263591597E-2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DA3-43C8-A593-3D473440B1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31533120"/>
        <c:axId val="1331527840"/>
      </c:areaChart>
      <c:lineChart>
        <c:grouping val="standard"/>
        <c:varyColors val="0"/>
        <c:ser>
          <c:idx val="0"/>
          <c:order val="0"/>
          <c:tx>
            <c:strRef>
              <c:f>'Restaurant Forecast'!$C$55</c:f>
              <c:strCache>
                <c:ptCount val="1"/>
                <c:pt idx="0">
                  <c:v>High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'Restaurant Forecast'!$D$44:$G$44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'Restaurant Forecast'!$D$55:$G$55</c:f>
              <c:numCache>
                <c:formatCode>0.0%</c:formatCode>
                <c:ptCount val="4"/>
                <c:pt idx="0">
                  <c:v>5.0802139037433136E-2</c:v>
                </c:pt>
                <c:pt idx="1">
                  <c:v>-3.1936127744511045E-2</c:v>
                </c:pt>
                <c:pt idx="2">
                  <c:v>-3.6842105263157898E-2</c:v>
                </c:pt>
                <c:pt idx="3">
                  <c:v>5.3763440860215006E-3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DA3-43C8-A593-3D473440B194}"/>
            </c:ext>
          </c:extLst>
        </c:ser>
        <c:ser>
          <c:idx val="1"/>
          <c:order val="1"/>
          <c:tx>
            <c:strRef>
              <c:f>'Restaurant Forecast'!$C$56</c:f>
              <c:strCache>
                <c:ptCount val="1"/>
                <c:pt idx="0">
                  <c:v>Low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'Restaurant Forecast'!$D$44:$G$44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'Restaurant Forecast'!$D$56:$G$56</c:f>
              <c:numCache>
                <c:formatCode>0.0%</c:formatCode>
                <c:ptCount val="4"/>
                <c:pt idx="0">
                  <c:v>7.2115384615385469E-3</c:v>
                </c:pt>
                <c:pt idx="1">
                  <c:v>-6.92124105011932E-2</c:v>
                </c:pt>
                <c:pt idx="2">
                  <c:v>-0.11752577319587632</c:v>
                </c:pt>
                <c:pt idx="3">
                  <c:v>-2.8037383177570097E-2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DA3-43C8-A593-3D473440B194}"/>
            </c:ext>
          </c:extLst>
        </c:ser>
        <c:ser>
          <c:idx val="2"/>
          <c:order val="2"/>
          <c:tx>
            <c:strRef>
              <c:f>'Restaurant Forecast'!$C$57</c:f>
              <c:strCache>
                <c:ptCount val="1"/>
                <c:pt idx="0">
                  <c:v>Median</c:v>
                </c:pt>
              </c:strCache>
            </c:strRef>
          </c:tx>
          <c:spPr>
            <a:ln w="28575" cap="rnd">
              <a:solidFill>
                <a:schemeClr val="bg1">
                  <a:lumMod val="75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4.0626268634909701E-2"/>
                  <c:y val="-4.4370281529378091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DA3-43C8-A593-3D473440B19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'Restaurant Forecast'!$D$44:$G$44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'Restaurant Forecast'!$D$57:$G$57</c:f>
              <c:numCache>
                <c:formatCode>0.0%</c:formatCode>
                <c:ptCount val="4"/>
                <c:pt idx="0">
                  <c:v>2.2448979591836782E-2</c:v>
                </c:pt>
                <c:pt idx="1">
                  <c:v>-3.30788804071247E-2</c:v>
                </c:pt>
                <c:pt idx="2">
                  <c:v>-4.6153846153846212E-2</c:v>
                </c:pt>
                <c:pt idx="3">
                  <c:v>-1.3661202185792365E-2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DDA3-43C8-A593-3D473440B194}"/>
            </c:ext>
          </c:extLst>
        </c:ser>
        <c:ser>
          <c:idx val="3"/>
          <c:order val="3"/>
          <c:tx>
            <c:strRef>
              <c:f>'Restaurant Forecast'!$C$58</c:f>
              <c:strCache>
                <c:ptCount val="1"/>
                <c:pt idx="0">
                  <c:v>2024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7975506540807648E-2"/>
                  <c:y val="-4.392993922117351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DDA3-43C8-A593-3D473440B19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'Restaurant Forecast'!$D$44:$G$44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'Restaurant Forecast'!$D$58:$G$58</c:f>
              <c:numCache>
                <c:formatCode>0.0%</c:formatCode>
                <c:ptCount val="4"/>
                <c:pt idx="0">
                  <c:v>1.1080332409972415E-2</c:v>
                </c:pt>
                <c:pt idx="1">
                  <c:v>-3.2876712328767099E-2</c:v>
                </c:pt>
                <c:pt idx="2">
                  <c:v>-3.6827195467421969E-2</c:v>
                </c:pt>
                <c:pt idx="3">
                  <c:v>1.1764705882352677E-2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DDA3-43C8-A593-3D473440B1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31533120"/>
        <c:axId val="1331527840"/>
      </c:lineChart>
      <c:catAx>
        <c:axId val="13315331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31527840"/>
        <c:crosses val="autoZero"/>
        <c:auto val="1"/>
        <c:lblAlgn val="ctr"/>
        <c:lblOffset val="100"/>
        <c:noMultiLvlLbl val="0"/>
      </c:catAx>
      <c:valAx>
        <c:axId val="1331527840"/>
        <c:scaling>
          <c:orientation val="minMax"/>
        </c:scaling>
        <c:delete val="0"/>
        <c:axPos val="l"/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315331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'Restaurant Forecast'!$T$5</c:f>
              <c:strCache>
                <c:ptCount val="1"/>
                <c:pt idx="0">
                  <c:v>x-axis</c:v>
                </c:pt>
              </c:strCache>
            </c:strRef>
          </c:tx>
          <c:spPr>
            <a:ln w="381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'Restaurant Forecast'!$S$6:$S$14</c:f>
              <c:numCache>
                <c:formatCode>0%</c:formatCode>
                <c:ptCount val="9"/>
                <c:pt idx="0">
                  <c:v>7.0484581497797461E-2</c:v>
                </c:pt>
                <c:pt idx="1">
                  <c:v>-0.24691358024691357</c:v>
                </c:pt>
                <c:pt idx="2">
                  <c:v>-0.36065573770491799</c:v>
                </c:pt>
                <c:pt idx="3">
                  <c:v>0.19658119658119655</c:v>
                </c:pt>
                <c:pt idx="4">
                  <c:v>0.14999999999999991</c:v>
                </c:pt>
                <c:pt idx="5">
                  <c:v>0.3354037267080745</c:v>
                </c:pt>
                <c:pt idx="6">
                  <c:v>9.7674418604651203E-2</c:v>
                </c:pt>
                <c:pt idx="7">
                  <c:v>0.14830508474576276</c:v>
                </c:pt>
                <c:pt idx="8">
                  <c:v>0.12177121771217703</c:v>
                </c:pt>
              </c:numCache>
            </c:numRef>
          </c:xVal>
          <c:yVal>
            <c:numRef>
              <c:f>'Restaurant Forecast'!$T$6:$T$14</c:f>
              <c:numCache>
                <c:formatCode>0%</c:formatCode>
                <c:ptCount val="9"/>
                <c:pt idx="0">
                  <c:v>1.8481012658227889</c:v>
                </c:pt>
                <c:pt idx="1">
                  <c:v>-3.0604395604395656</c:v>
                </c:pt>
                <c:pt idx="2">
                  <c:v>-6.7870370370370487</c:v>
                </c:pt>
                <c:pt idx="3">
                  <c:v>4.4642857142882519E-3</c:v>
                </c:pt>
                <c:pt idx="4">
                  <c:v>0.27118644067796938</c:v>
                </c:pt>
                <c:pt idx="5">
                  <c:v>2.9801587301587267</c:v>
                </c:pt>
                <c:pt idx="6">
                  <c:v>2.1343749999999968</c:v>
                </c:pt>
                <c:pt idx="7">
                  <c:v>0.67268041237113363</c:v>
                </c:pt>
                <c:pt idx="8">
                  <c:v>-1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DE7-4F4D-8B37-54F81A7AEB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65095072"/>
        <c:axId val="1965100832"/>
      </c:scatterChart>
      <c:valAx>
        <c:axId val="19650950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65100832"/>
        <c:crosses val="autoZero"/>
        <c:crossBetween val="midCat"/>
      </c:valAx>
      <c:valAx>
        <c:axId val="19651008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6509507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Historical New Restaurant Forecasting by CMG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'Restaurant Forecast'!$H$5</c:f>
              <c:strCache>
                <c:ptCount val="1"/>
                <c:pt idx="0">
                  <c:v>Restaurants Opened YoY Growth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'Restaurant Forecast'!$B$9:$B$17</c:f>
              <c:numCache>
                <c:formatCode>General</c:formatCode>
                <c:ptCount val="9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</c:numCache>
            </c:numRef>
          </c:cat>
          <c:val>
            <c:numRef>
              <c:f>'Restaurant Forecast'!$H$9:$H$17</c:f>
              <c:numCache>
                <c:formatCode>0%</c:formatCode>
                <c:ptCount val="9"/>
                <c:pt idx="0">
                  <c:v>7.0484581497797461E-2</c:v>
                </c:pt>
                <c:pt idx="1">
                  <c:v>-0.24691358024691357</c:v>
                </c:pt>
                <c:pt idx="2">
                  <c:v>-0.36065573770491799</c:v>
                </c:pt>
                <c:pt idx="3">
                  <c:v>0.19658119658119655</c:v>
                </c:pt>
                <c:pt idx="4">
                  <c:v>0.14999999999999991</c:v>
                </c:pt>
                <c:pt idx="5">
                  <c:v>0.3354037267080745</c:v>
                </c:pt>
                <c:pt idx="6">
                  <c:v>9.7674418604651203E-2</c:v>
                </c:pt>
                <c:pt idx="7">
                  <c:v>0.14830508474576276</c:v>
                </c:pt>
                <c:pt idx="8">
                  <c:v>0.12177121771217703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68-4BCE-98E5-2924D4CAAAEF}"/>
            </c:ext>
          </c:extLst>
        </c:ser>
        <c:ser>
          <c:idx val="3"/>
          <c:order val="1"/>
          <c:tx>
            <c:strRef>
              <c:f>'Restaurant Forecast'!$O$5</c:f>
              <c:strCache>
                <c:ptCount val="1"/>
                <c:pt idx="0">
                  <c:v>Guide Growth Rate vs. last beat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'Restaurant Forecast'!$B$9:$B$17</c:f>
              <c:numCache>
                <c:formatCode>General</c:formatCode>
                <c:ptCount val="9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</c:numCache>
            </c:numRef>
          </c:cat>
          <c:val>
            <c:numRef>
              <c:f>'Restaurant Forecast'!$O$9:$O$17</c:f>
              <c:numCache>
                <c:formatCode>0%</c:formatCode>
                <c:ptCount val="9"/>
                <c:pt idx="0">
                  <c:v>1.8481012658227889</c:v>
                </c:pt>
                <c:pt idx="1">
                  <c:v>-3.0604395604395656</c:v>
                </c:pt>
                <c:pt idx="2">
                  <c:v>-6.7870370370370487</c:v>
                </c:pt>
                <c:pt idx="3">
                  <c:v>4.4642857142882519E-3</c:v>
                </c:pt>
                <c:pt idx="4">
                  <c:v>0.27118644067796938</c:v>
                </c:pt>
                <c:pt idx="5">
                  <c:v>2.9801587301587267</c:v>
                </c:pt>
                <c:pt idx="6">
                  <c:v>2.1343749999999968</c:v>
                </c:pt>
                <c:pt idx="7">
                  <c:v>0.67268041237113363</c:v>
                </c:pt>
                <c:pt idx="8">
                  <c:v>-1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568-4BCE-98E5-2924D4CAAAEF}"/>
            </c:ext>
          </c:extLst>
        </c:ser>
        <c:ser>
          <c:idx val="1"/>
          <c:order val="2"/>
          <c:tx>
            <c:strRef>
              <c:f>'Restaurant Forecast'!$M$5</c:f>
              <c:strCache>
                <c:ptCount val="1"/>
                <c:pt idx="0">
                  <c:v>Guide beat / (miss)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'Restaurant Forecast'!$B$9:$B$17</c:f>
              <c:numCache>
                <c:formatCode>General</c:formatCode>
                <c:ptCount val="9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</c:numCache>
            </c:numRef>
          </c:cat>
          <c:val>
            <c:numRef>
              <c:f>'Restaurant Forecast'!$M$9:$M$17</c:f>
              <c:numCache>
                <c:formatCode>0%</c:formatCode>
                <c:ptCount val="9"/>
                <c:pt idx="0">
                  <c:v>6.8131868131868112E-2</c:v>
                </c:pt>
                <c:pt idx="1">
                  <c:v>-9.6296296296296324E-2</c:v>
                </c:pt>
                <c:pt idx="2">
                  <c:v>-0.16428571428571426</c:v>
                </c:pt>
                <c:pt idx="3">
                  <c:v>-5.084745762711862E-2</c:v>
                </c:pt>
                <c:pt idx="4">
                  <c:v>2.2222222222222143E-2</c:v>
                </c:pt>
                <c:pt idx="5">
                  <c:v>7.4999999999999956E-2</c:v>
                </c:pt>
                <c:pt idx="6">
                  <c:v>-2.6804123711340222E-2</c:v>
                </c:pt>
                <c:pt idx="7">
                  <c:v>3.7037037037037646E-3</c:v>
                </c:pt>
                <c:pt idx="8">
                  <c:v>0.125925925925926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568-4BCE-98E5-2924D4CAAA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31554880"/>
        <c:axId val="1331552000"/>
      </c:barChart>
      <c:catAx>
        <c:axId val="13315548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31552000"/>
        <c:crosses val="autoZero"/>
        <c:auto val="1"/>
        <c:lblAlgn val="ctr"/>
        <c:lblOffset val="100"/>
        <c:noMultiLvlLbl val="0"/>
      </c:catAx>
      <c:valAx>
        <c:axId val="13315520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315548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ROIC!$S$2</c:f>
              <c:strCache>
                <c:ptCount val="1"/>
                <c:pt idx="0">
                  <c:v>Excess Returns</c:v>
                </c:pt>
              </c:strCache>
            </c:strRef>
          </c:tx>
          <c:spPr>
            <a:ln w="381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0BAB2099-8539-4A08-BB61-2A33F4042E5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4F9D-4D22-B924-8270AC675660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4F9D-4D22-B924-8270AC675660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B7CF1AEB-DFD7-4F78-8FC0-9D7D9DFE956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4F9D-4D22-B924-8270AC675660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CD215A55-59A7-4C07-A178-349649C2A45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4F9D-4D22-B924-8270AC675660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C015ED6C-C516-4747-BDF8-73D3AB271C5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4F9D-4D22-B924-8270AC675660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839C3110-1324-4CD2-96A2-D2BB9715D70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4F9D-4D22-B924-8270AC675660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2EDF2C2B-5D55-407A-BDDF-CBED934E9F7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4F9D-4D22-B924-8270AC675660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474DB386-D235-4735-A02E-193AE8127C7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4F9D-4D22-B924-8270AC67566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6.822934065060049E-2"/>
                  <c:y val="-7.8468048636777546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ROIC!$R$4:$R$11</c:f>
              <c:numCache>
                <c:formatCode>0.0\x</c:formatCode>
                <c:ptCount val="8"/>
                <c:pt idx="0">
                  <c:v>7.1100441721169592</c:v>
                </c:pt>
                <c:pt idx="2">
                  <c:v>22.812318474067727</c:v>
                </c:pt>
                <c:pt idx="3">
                  <c:v>13.640617186292426</c:v>
                </c:pt>
                <c:pt idx="4">
                  <c:v>6.214383444611296</c:v>
                </c:pt>
                <c:pt idx="5">
                  <c:v>4.4264804076074489</c:v>
                </c:pt>
                <c:pt idx="6">
                  <c:v>20.785984231320249</c:v>
                </c:pt>
                <c:pt idx="7">
                  <c:v>2.2874911109556546</c:v>
                </c:pt>
              </c:numCache>
            </c:numRef>
          </c:xVal>
          <c:yVal>
            <c:numRef>
              <c:f>ROIC!$S$4:$S$11</c:f>
              <c:numCache>
                <c:formatCode>0.0%</c:formatCode>
                <c:ptCount val="8"/>
                <c:pt idx="0">
                  <c:v>6.45941826151952E-2</c:v>
                </c:pt>
                <c:pt idx="2">
                  <c:v>0.76833690527218179</c:v>
                </c:pt>
                <c:pt idx="3">
                  <c:v>0.23991462316903525</c:v>
                </c:pt>
                <c:pt idx="4">
                  <c:v>0.12679565669400486</c:v>
                </c:pt>
                <c:pt idx="5">
                  <c:v>7.6049543277690257E-2</c:v>
                </c:pt>
                <c:pt idx="6">
                  <c:v>0.58823833497550271</c:v>
                </c:pt>
                <c:pt idx="7">
                  <c:v>-3.2440288481506013E-3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ROIC!$B$4:$B$11</c15:f>
                <c15:dlblRangeCache>
                  <c:ptCount val="8"/>
                  <c:pt idx="0">
                    <c:v>CMG</c:v>
                  </c:pt>
                  <c:pt idx="2">
                    <c:v>YUM</c:v>
                  </c:pt>
                  <c:pt idx="3">
                    <c:v>SBUX</c:v>
                  </c:pt>
                  <c:pt idx="4">
                    <c:v>MCD</c:v>
                  </c:pt>
                  <c:pt idx="5">
                    <c:v>DRI</c:v>
                  </c:pt>
                  <c:pt idx="6">
                    <c:v>DPZ</c:v>
                  </c:pt>
                  <c:pt idx="7">
                    <c:v>CAKE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0-4F9D-4D22-B924-8270AC675660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1948915824"/>
        <c:axId val="1948918704"/>
      </c:scatterChart>
      <c:valAx>
        <c:axId val="19489158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EV /</a:t>
                </a:r>
                <a:r>
                  <a:rPr lang="en-US" baseline="0"/>
                  <a:t> IC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\x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8918704"/>
        <c:crosses val="autoZero"/>
        <c:crossBetween val="midCat"/>
      </c:valAx>
      <c:valAx>
        <c:axId val="19489187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ROIC - WACC (Excess Returns)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89158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ROIC!$S$2</c:f>
              <c:strCache>
                <c:ptCount val="1"/>
                <c:pt idx="0">
                  <c:v>Excess Returns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rgbClr val="AB2318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B134-4DA8-BE81-ACE757E3FAFE}"/>
              </c:ext>
            </c:extLst>
          </c:dPt>
          <c:dLbls>
            <c:dLbl>
              <c:idx val="8"/>
              <c:layout>
                <c:manualLayout>
                  <c:x val="-7.2257899945664214E-2"/>
                  <c:y val="6.433155350142234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134-4DA8-BE81-ACE757E3FAF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ROIC!$C$3:$C$11</c:f>
              <c:strCache>
                <c:ptCount val="9"/>
                <c:pt idx="1">
                  <c:v>Chipotle</c:v>
                </c:pt>
                <c:pt idx="3">
                  <c:v>Yum! Brands</c:v>
                </c:pt>
                <c:pt idx="4">
                  <c:v>Starbucks</c:v>
                </c:pt>
                <c:pt idx="5">
                  <c:v>McDonalds</c:v>
                </c:pt>
                <c:pt idx="6">
                  <c:v>Darden Restaurants</c:v>
                </c:pt>
                <c:pt idx="7">
                  <c:v>Dominos</c:v>
                </c:pt>
                <c:pt idx="8">
                  <c:v>Cheesecake Factory</c:v>
                </c:pt>
              </c:strCache>
            </c:strRef>
          </c:cat>
          <c:val>
            <c:numRef>
              <c:f>ROIC!$S$3:$S$11</c:f>
              <c:numCache>
                <c:formatCode>0.0%</c:formatCode>
                <c:ptCount val="9"/>
                <c:pt idx="1">
                  <c:v>6.45941826151952E-2</c:v>
                </c:pt>
                <c:pt idx="3">
                  <c:v>0.76833690527218179</c:v>
                </c:pt>
                <c:pt idx="4">
                  <c:v>0.23991462316903525</c:v>
                </c:pt>
                <c:pt idx="5">
                  <c:v>0.12679565669400486</c:v>
                </c:pt>
                <c:pt idx="6">
                  <c:v>7.6049543277690257E-2</c:v>
                </c:pt>
                <c:pt idx="7">
                  <c:v>0.58823833497550271</c:v>
                </c:pt>
                <c:pt idx="8">
                  <c:v>-3.2440288481506013E-3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134-4DA8-BE81-ACE757E3FA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948587984"/>
        <c:axId val="1948585584"/>
      </c:barChart>
      <c:catAx>
        <c:axId val="194858798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8585584"/>
        <c:crosses val="autoZero"/>
        <c:auto val="1"/>
        <c:lblAlgn val="ctr"/>
        <c:lblOffset val="100"/>
        <c:noMultiLvlLbl val="0"/>
      </c:catAx>
      <c:valAx>
        <c:axId val="1948585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8587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130241</xdr:colOff>
      <xdr:row>3</xdr:row>
      <xdr:rowOff>162147</xdr:rowOff>
    </xdr:from>
    <xdr:to>
      <xdr:col>17</xdr:col>
      <xdr:colOff>359181</xdr:colOff>
      <xdr:row>28</xdr:row>
      <xdr:rowOff>111219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107335C-658C-B42F-E4CA-98B452F462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24541" y="924147"/>
          <a:ext cx="5712165" cy="38289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577850</xdr:colOff>
      <xdr:row>58</xdr:row>
      <xdr:rowOff>0</xdr:rowOff>
    </xdr:from>
    <xdr:to>
      <xdr:col>14</xdr:col>
      <xdr:colOff>384175</xdr:colOff>
      <xdr:row>74</xdr:row>
      <xdr:rowOff>3175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7AD8714-AB5A-0CDF-ABD8-AC504D0181A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581025</xdr:colOff>
      <xdr:row>72</xdr:row>
      <xdr:rowOff>63500</xdr:rowOff>
    </xdr:from>
    <xdr:to>
      <xdr:col>14</xdr:col>
      <xdr:colOff>384175</xdr:colOff>
      <xdr:row>86</xdr:row>
      <xdr:rowOff>41275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3635C55-E815-F706-6024-0047B60934F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292937</xdr:colOff>
      <xdr:row>42</xdr:row>
      <xdr:rowOff>114300</xdr:rowOff>
    </xdr:from>
    <xdr:to>
      <xdr:col>15</xdr:col>
      <xdr:colOff>33154</xdr:colOff>
      <xdr:row>58</xdr:row>
      <xdr:rowOff>57150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6528285-30C3-49B5-A996-B92E0337ED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560293</xdr:colOff>
      <xdr:row>16</xdr:row>
      <xdr:rowOff>112061</xdr:rowOff>
    </xdr:from>
    <xdr:to>
      <xdr:col>25</xdr:col>
      <xdr:colOff>470647</xdr:colOff>
      <xdr:row>37</xdr:row>
      <xdr:rowOff>26896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BC1A9C39-F5B0-B206-0B3B-0478BFCFF52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78441</xdr:colOff>
      <xdr:row>40</xdr:row>
      <xdr:rowOff>134471</xdr:rowOff>
    </xdr:from>
    <xdr:to>
      <xdr:col>32</xdr:col>
      <xdr:colOff>358587</xdr:colOff>
      <xdr:row>63</xdr:row>
      <xdr:rowOff>26894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8F0EDAE9-3633-63D4-A778-628C0086776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54429</xdr:colOff>
      <xdr:row>14</xdr:row>
      <xdr:rowOff>14967</xdr:rowOff>
    </xdr:from>
    <xdr:to>
      <xdr:col>18</xdr:col>
      <xdr:colOff>83004</xdr:colOff>
      <xdr:row>31</xdr:row>
      <xdr:rowOff>24492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1A41AB36-03E8-E77A-6280-139F1A91451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449036</xdr:colOff>
      <xdr:row>25</xdr:row>
      <xdr:rowOff>136072</xdr:rowOff>
    </xdr:from>
    <xdr:to>
      <xdr:col>22</xdr:col>
      <xdr:colOff>598714</xdr:colOff>
      <xdr:row>57</xdr:row>
      <xdr:rowOff>40822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4AF29025-FDDA-45C1-67AA-C38514D4AC9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4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ECC36-E74D-4E69-9793-258EDCBF38DF}">
  <dimension ref="A1:BK281"/>
  <sheetViews>
    <sheetView showGridLines="0" tabSelected="1"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/>
    </sheetView>
  </sheetViews>
  <sheetFormatPr defaultRowHeight="14.25" outlineLevelRow="1" outlineLevelCol="2" x14ac:dyDescent="0.2"/>
  <cols>
    <col min="1" max="1" width="9.140625" style="4"/>
    <col min="2" max="2" width="44" style="4" customWidth="1"/>
    <col min="3" max="9" width="12.7109375" style="4" customWidth="1" outlineLevel="1"/>
    <col min="10" max="10" width="13.7109375" style="4" customWidth="1" outlineLevel="1"/>
    <col min="11" max="17" width="12.7109375" style="4" customWidth="1" outlineLevel="1"/>
    <col min="18" max="18" width="13.5703125" style="4" customWidth="1" outlineLevel="1"/>
    <col min="19" max="19" width="15.7109375" style="4" hidden="1" customWidth="1" outlineLevel="2"/>
    <col min="20" max="38" width="13.7109375" style="4" hidden="1" customWidth="1" outlineLevel="2"/>
    <col min="39" max="39" width="11.28515625" style="4" customWidth="1" outlineLevel="1" collapsed="1"/>
    <col min="40" max="40" width="14.5703125" style="4" customWidth="1" outlineLevel="1"/>
    <col min="41" max="41" width="13.85546875" style="4" customWidth="1" outlineLevel="1"/>
    <col min="42" max="42" width="13.5703125" style="4" customWidth="1" outlineLevel="1"/>
    <col min="43" max="43" width="13.5703125" style="4" bestFit="1" customWidth="1"/>
    <col min="44" max="48" width="15" style="4" bestFit="1" customWidth="1"/>
    <col min="49" max="62" width="9.140625" style="4"/>
    <col min="63" max="63" width="6.85546875" style="4" bestFit="1" customWidth="1"/>
    <col min="64" max="16384" width="9.140625" style="4"/>
  </cols>
  <sheetData>
    <row r="1" spans="1:52" ht="15" x14ac:dyDescent="0.25">
      <c r="A1" s="25" t="s">
        <v>0</v>
      </c>
    </row>
    <row r="2" spans="1:52" x14ac:dyDescent="0.2">
      <c r="S2" s="4">
        <f>R2+1</f>
        <v>1</v>
      </c>
    </row>
    <row r="3" spans="1:52" ht="15" x14ac:dyDescent="0.25">
      <c r="B3" s="20"/>
      <c r="C3" s="21" t="s">
        <v>1</v>
      </c>
      <c r="D3" s="21" t="s">
        <v>2</v>
      </c>
      <c r="E3" s="21" t="s">
        <v>3</v>
      </c>
      <c r="F3" s="21" t="s">
        <v>4</v>
      </c>
      <c r="G3" s="21" t="s">
        <v>5</v>
      </c>
      <c r="H3" s="21" t="s">
        <v>6</v>
      </c>
      <c r="I3" s="21" t="s">
        <v>7</v>
      </c>
      <c r="J3" s="21" t="s">
        <v>8</v>
      </c>
      <c r="K3" s="21" t="s">
        <v>9</v>
      </c>
      <c r="L3" s="21" t="s">
        <v>10</v>
      </c>
      <c r="M3" s="21" t="s">
        <v>11</v>
      </c>
      <c r="N3" s="21" t="s">
        <v>12</v>
      </c>
      <c r="O3" s="21" t="s">
        <v>13</v>
      </c>
      <c r="P3" s="21" t="s">
        <v>14</v>
      </c>
      <c r="Q3" s="21" t="s">
        <v>15</v>
      </c>
      <c r="R3" s="21" t="s">
        <v>16</v>
      </c>
      <c r="S3" s="1" t="s">
        <v>17</v>
      </c>
      <c r="T3" s="1" t="s">
        <v>18</v>
      </c>
      <c r="U3" s="1" t="s">
        <v>19</v>
      </c>
      <c r="V3" s="1" t="s">
        <v>20</v>
      </c>
      <c r="W3" s="1" t="s">
        <v>173</v>
      </c>
      <c r="X3" s="1" t="s">
        <v>174</v>
      </c>
      <c r="Y3" s="1" t="s">
        <v>175</v>
      </c>
      <c r="Z3" s="1" t="s">
        <v>176</v>
      </c>
      <c r="AA3" s="1" t="s">
        <v>177</v>
      </c>
      <c r="AB3" s="1" t="s">
        <v>178</v>
      </c>
      <c r="AC3" s="1" t="s">
        <v>179</v>
      </c>
      <c r="AD3" s="1" t="s">
        <v>180</v>
      </c>
      <c r="AE3" s="1" t="s">
        <v>181</v>
      </c>
      <c r="AF3" s="1" t="s">
        <v>182</v>
      </c>
      <c r="AG3" s="1" t="s">
        <v>183</v>
      </c>
      <c r="AH3" s="1" t="s">
        <v>184</v>
      </c>
      <c r="AI3" s="1" t="s">
        <v>186</v>
      </c>
      <c r="AJ3" s="1" t="s">
        <v>187</v>
      </c>
      <c r="AK3" s="1" t="s">
        <v>188</v>
      </c>
      <c r="AL3" s="1" t="s">
        <v>189</v>
      </c>
      <c r="AM3" s="2" t="s">
        <v>185</v>
      </c>
      <c r="AN3" s="24">
        <v>2021</v>
      </c>
      <c r="AO3" s="24">
        <f t="shared" ref="AO3:AV3" si="0">AN3+1</f>
        <v>2022</v>
      </c>
      <c r="AP3" s="24">
        <f t="shared" si="0"/>
        <v>2023</v>
      </c>
      <c r="AQ3" s="24">
        <f t="shared" si="0"/>
        <v>2024</v>
      </c>
      <c r="AR3" s="3">
        <f t="shared" si="0"/>
        <v>2025</v>
      </c>
      <c r="AS3" s="3">
        <f t="shared" si="0"/>
        <v>2026</v>
      </c>
      <c r="AT3" s="3">
        <f t="shared" si="0"/>
        <v>2027</v>
      </c>
      <c r="AU3" s="3">
        <f t="shared" si="0"/>
        <v>2028</v>
      </c>
      <c r="AV3" s="3">
        <f t="shared" si="0"/>
        <v>2029</v>
      </c>
      <c r="AX3" s="3" t="s">
        <v>24</v>
      </c>
    </row>
    <row r="4" spans="1:52" ht="15" x14ac:dyDescent="0.25">
      <c r="B4" s="20"/>
      <c r="C4" s="21" t="s">
        <v>21</v>
      </c>
      <c r="D4" s="21" t="s">
        <v>21</v>
      </c>
      <c r="E4" s="21" t="s">
        <v>21</v>
      </c>
      <c r="F4" s="21" t="s">
        <v>21</v>
      </c>
      <c r="G4" s="21" t="s">
        <v>21</v>
      </c>
      <c r="H4" s="21" t="s">
        <v>21</v>
      </c>
      <c r="I4" s="21" t="s">
        <v>21</v>
      </c>
      <c r="J4" s="21" t="s">
        <v>21</v>
      </c>
      <c r="K4" s="21" t="s">
        <v>21</v>
      </c>
      <c r="L4" s="21" t="s">
        <v>21</v>
      </c>
      <c r="M4" s="21" t="s">
        <v>21</v>
      </c>
      <c r="N4" s="21" t="s">
        <v>21</v>
      </c>
      <c r="O4" s="21" t="s">
        <v>21</v>
      </c>
      <c r="P4" s="21" t="s">
        <v>21</v>
      </c>
      <c r="Q4" s="21" t="s">
        <v>21</v>
      </c>
      <c r="R4" s="21" t="s">
        <v>21</v>
      </c>
      <c r="S4" s="1" t="s">
        <v>22</v>
      </c>
      <c r="T4" s="1" t="s">
        <v>22</v>
      </c>
      <c r="U4" s="1" t="s">
        <v>22</v>
      </c>
      <c r="V4" s="1" t="s">
        <v>22</v>
      </c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2"/>
      <c r="AN4" s="21" t="s">
        <v>21</v>
      </c>
      <c r="AO4" s="21" t="s">
        <v>21</v>
      </c>
      <c r="AP4" s="21" t="s">
        <v>21</v>
      </c>
      <c r="AQ4" s="21" t="s">
        <v>21</v>
      </c>
      <c r="AR4" s="1" t="s">
        <v>22</v>
      </c>
      <c r="AS4" s="1" t="s">
        <v>22</v>
      </c>
      <c r="AT4" s="1" t="s">
        <v>22</v>
      </c>
      <c r="AU4" s="1" t="s">
        <v>22</v>
      </c>
      <c r="AV4" s="1" t="s">
        <v>22</v>
      </c>
      <c r="AX4" s="5" t="s">
        <v>228</v>
      </c>
    </row>
    <row r="5" spans="1:52" outlineLevel="1" x14ac:dyDescent="0.2"/>
    <row r="6" spans="1:52" ht="15" outlineLevel="1" x14ac:dyDescent="0.25">
      <c r="B6" s="22" t="s">
        <v>23</v>
      </c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N6" s="22"/>
      <c r="AO6" s="22"/>
      <c r="AP6" s="22"/>
      <c r="AQ6" s="22"/>
      <c r="AR6" s="22"/>
      <c r="AS6" s="22"/>
      <c r="AT6" s="22"/>
      <c r="AU6" s="22"/>
      <c r="AV6" s="22"/>
    </row>
    <row r="7" spans="1:52" outlineLevel="1" x14ac:dyDescent="0.2"/>
    <row r="8" spans="1:52" outlineLevel="1" x14ac:dyDescent="0.2">
      <c r="B8" s="4" t="s">
        <v>226</v>
      </c>
      <c r="AR8" s="60">
        <v>0.5</v>
      </c>
      <c r="AS8" s="60">
        <f>AR8</f>
        <v>0.5</v>
      </c>
      <c r="AT8" s="60">
        <f t="shared" ref="AT8:AV8" si="1">AS8</f>
        <v>0.5</v>
      </c>
      <c r="AU8" s="60">
        <f t="shared" si="1"/>
        <v>0.5</v>
      </c>
      <c r="AV8" s="60">
        <f t="shared" si="1"/>
        <v>0.5</v>
      </c>
    </row>
    <row r="9" spans="1:52" outlineLevel="1" x14ac:dyDescent="0.2"/>
    <row r="10" spans="1:52" outlineLevel="1" x14ac:dyDescent="0.2">
      <c r="B10" s="8" t="s">
        <v>67</v>
      </c>
      <c r="C10" s="9">
        <v>40</v>
      </c>
      <c r="D10" s="9">
        <v>56</v>
      </c>
      <c r="E10" s="9">
        <v>41</v>
      </c>
      <c r="F10" s="9">
        <v>78</v>
      </c>
      <c r="G10" s="9">
        <v>51</v>
      </c>
      <c r="H10" s="9">
        <v>42</v>
      </c>
      <c r="I10" s="9">
        <v>43</v>
      </c>
      <c r="J10" s="9">
        <v>100</v>
      </c>
      <c r="K10" s="9">
        <v>41</v>
      </c>
      <c r="L10" s="9">
        <v>47</v>
      </c>
      <c r="M10" s="9">
        <v>62</v>
      </c>
      <c r="N10" s="9">
        <v>121</v>
      </c>
      <c r="O10" s="9">
        <v>47</v>
      </c>
      <c r="P10" s="9">
        <v>52</v>
      </c>
      <c r="Q10" s="9">
        <v>86</v>
      </c>
      <c r="R10" s="9">
        <v>119</v>
      </c>
      <c r="S10" s="47">
        <f>'Restaurant Forecast'!C18</f>
        <v>60</v>
      </c>
      <c r="T10" s="47">
        <f>'Restaurant Forecast'!D18</f>
        <v>76</v>
      </c>
      <c r="U10" s="47">
        <f>'Restaurant Forecast'!E18</f>
        <v>80</v>
      </c>
      <c r="V10" s="47">
        <f>'Restaurant Forecast'!F18</f>
        <v>130</v>
      </c>
      <c r="W10" s="47">
        <f>'Restaurant Forecast'!C19</f>
        <v>66</v>
      </c>
      <c r="X10" s="47">
        <f>'Restaurant Forecast'!D19</f>
        <v>84</v>
      </c>
      <c r="Y10" s="47">
        <f>'Restaurant Forecast'!E19</f>
        <v>88</v>
      </c>
      <c r="Z10" s="47">
        <f>'Restaurant Forecast'!F19</f>
        <v>143</v>
      </c>
      <c r="AA10" s="47">
        <f>'Restaurant Forecast'!C20</f>
        <v>64</v>
      </c>
      <c r="AB10" s="47">
        <f>'Restaurant Forecast'!D20</f>
        <v>82</v>
      </c>
      <c r="AC10" s="47">
        <f>'Restaurant Forecast'!E20</f>
        <v>86</v>
      </c>
      <c r="AD10" s="47">
        <f>'Restaurant Forecast'!F20</f>
        <v>140</v>
      </c>
      <c r="AE10" s="47">
        <f>'Restaurant Forecast'!C21</f>
        <v>60</v>
      </c>
      <c r="AF10" s="47">
        <f>'Restaurant Forecast'!D21</f>
        <v>78</v>
      </c>
      <c r="AG10" s="47">
        <f>'Restaurant Forecast'!E21</f>
        <v>81</v>
      </c>
      <c r="AH10" s="47">
        <f>'Restaurant Forecast'!F21</f>
        <v>132</v>
      </c>
      <c r="AI10" s="47">
        <f>'Restaurant Forecast'!C22</f>
        <v>73</v>
      </c>
      <c r="AJ10" s="47">
        <f>'Restaurant Forecast'!D22</f>
        <v>94</v>
      </c>
      <c r="AK10" s="47">
        <f>'Restaurant Forecast'!E22</f>
        <v>98</v>
      </c>
      <c r="AL10" s="47">
        <f>'Restaurant Forecast'!F22</f>
        <v>159</v>
      </c>
      <c r="AN10" s="46">
        <f>SUM(C10:F10)</f>
        <v>215</v>
      </c>
      <c r="AO10" s="46">
        <f>SUM(G10:J10)</f>
        <v>236</v>
      </c>
      <c r="AP10" s="46">
        <f>SUM(K10:N10)</f>
        <v>271</v>
      </c>
      <c r="AQ10" s="46">
        <f>SUM(O10:R10)</f>
        <v>304</v>
      </c>
      <c r="AR10" s="4">
        <f>'Restaurant Forecast'!G18</f>
        <v>350</v>
      </c>
      <c r="AS10" s="4">
        <f>'Restaurant Forecast'!G19</f>
        <v>386</v>
      </c>
      <c r="AT10" s="4">
        <f>'Restaurant Forecast'!G20</f>
        <v>377</v>
      </c>
      <c r="AU10" s="4">
        <f>'Restaurant Forecast'!G21</f>
        <v>355</v>
      </c>
      <c r="AV10" s="4">
        <f>'Restaurant Forecast'!G22</f>
        <v>430</v>
      </c>
    </row>
    <row r="11" spans="1:52" outlineLevel="1" x14ac:dyDescent="0.2">
      <c r="B11" s="8" t="s">
        <v>68</v>
      </c>
      <c r="C11" s="9">
        <v>-5</v>
      </c>
      <c r="D11" s="9">
        <v>-5</v>
      </c>
      <c r="E11" s="9">
        <v>0</v>
      </c>
      <c r="F11" s="9">
        <v>0</v>
      </c>
      <c r="G11" s="9">
        <v>-1</v>
      </c>
      <c r="H11" s="9">
        <v>-1</v>
      </c>
      <c r="I11" s="9">
        <v>-1</v>
      </c>
      <c r="J11" s="9">
        <v>0</v>
      </c>
      <c r="K11" s="9">
        <v>0</v>
      </c>
      <c r="L11" s="9">
        <v>0</v>
      </c>
      <c r="M11" s="9">
        <v>-1</v>
      </c>
      <c r="N11" s="9">
        <v>-2</v>
      </c>
      <c r="O11" s="9">
        <v>-3</v>
      </c>
      <c r="P11" s="9">
        <v>-1</v>
      </c>
      <c r="Q11" s="9">
        <v>-1</v>
      </c>
      <c r="R11" s="9">
        <v>-2</v>
      </c>
      <c r="S11" s="46">
        <f>AVERAGE(C11:R11)</f>
        <v>-1.4375</v>
      </c>
      <c r="T11" s="46">
        <f>S11</f>
        <v>-1.4375</v>
      </c>
      <c r="U11" s="46">
        <f t="shared" ref="U11:V12" si="2">T11</f>
        <v>-1.4375</v>
      </c>
      <c r="V11" s="46">
        <f t="shared" si="2"/>
        <v>-1.4375</v>
      </c>
      <c r="W11" s="46">
        <f t="shared" ref="W11:AL11" si="3">V11</f>
        <v>-1.4375</v>
      </c>
      <c r="X11" s="46">
        <f t="shared" si="3"/>
        <v>-1.4375</v>
      </c>
      <c r="Y11" s="46">
        <f t="shared" si="3"/>
        <v>-1.4375</v>
      </c>
      <c r="Z11" s="46">
        <f t="shared" si="3"/>
        <v>-1.4375</v>
      </c>
      <c r="AA11" s="46">
        <f t="shared" si="3"/>
        <v>-1.4375</v>
      </c>
      <c r="AB11" s="46">
        <f t="shared" si="3"/>
        <v>-1.4375</v>
      </c>
      <c r="AC11" s="46">
        <f t="shared" si="3"/>
        <v>-1.4375</v>
      </c>
      <c r="AD11" s="46">
        <f t="shared" si="3"/>
        <v>-1.4375</v>
      </c>
      <c r="AE11" s="46">
        <f t="shared" si="3"/>
        <v>-1.4375</v>
      </c>
      <c r="AF11" s="46">
        <f t="shared" si="3"/>
        <v>-1.4375</v>
      </c>
      <c r="AG11" s="46">
        <f t="shared" si="3"/>
        <v>-1.4375</v>
      </c>
      <c r="AH11" s="46">
        <f t="shared" si="3"/>
        <v>-1.4375</v>
      </c>
      <c r="AI11" s="46">
        <f t="shared" si="3"/>
        <v>-1.4375</v>
      </c>
      <c r="AJ11" s="46">
        <f t="shared" si="3"/>
        <v>-1.4375</v>
      </c>
      <c r="AK11" s="46">
        <f t="shared" si="3"/>
        <v>-1.4375</v>
      </c>
      <c r="AL11" s="46">
        <f t="shared" si="3"/>
        <v>-1.4375</v>
      </c>
      <c r="AN11" s="46">
        <f>SUM(C11:F11)</f>
        <v>-10</v>
      </c>
      <c r="AO11" s="46">
        <f>SUM(G11:J11)</f>
        <v>-3</v>
      </c>
      <c r="AP11" s="46">
        <f>SUM(K11:N11)</f>
        <v>-3</v>
      </c>
      <c r="AQ11" s="46">
        <f>SUM(O11:R11)</f>
        <v>-7</v>
      </c>
      <c r="AR11" s="61">
        <v>-5.75</v>
      </c>
      <c r="AS11" s="61">
        <v>-5.75</v>
      </c>
      <c r="AT11" s="61">
        <v>-5.75</v>
      </c>
      <c r="AU11" s="61">
        <v>-5.75</v>
      </c>
      <c r="AV11" s="61">
        <v>-5.75</v>
      </c>
    </row>
    <row r="12" spans="1:52" outlineLevel="1" x14ac:dyDescent="0.2">
      <c r="B12" s="8" t="s">
        <v>69</v>
      </c>
      <c r="C12" s="9">
        <v>0</v>
      </c>
      <c r="D12" s="9">
        <v>-1</v>
      </c>
      <c r="E12" s="9">
        <v>-2</v>
      </c>
      <c r="F12" s="9">
        <v>-4</v>
      </c>
      <c r="G12" s="9">
        <v>-2</v>
      </c>
      <c r="H12" s="9">
        <v>-3</v>
      </c>
      <c r="I12" s="9">
        <v>-4</v>
      </c>
      <c r="J12" s="9">
        <v>-3</v>
      </c>
      <c r="K12" s="9">
        <v>-4</v>
      </c>
      <c r="L12" s="9">
        <v>-3</v>
      </c>
      <c r="M12" s="9">
        <v>-2</v>
      </c>
      <c r="N12" s="9">
        <v>-3</v>
      </c>
      <c r="O12" s="9">
        <v>-2</v>
      </c>
      <c r="P12" s="9">
        <v>0</v>
      </c>
      <c r="Q12" s="9">
        <v>0</v>
      </c>
      <c r="R12" s="9">
        <v>-6</v>
      </c>
      <c r="S12" s="46">
        <f>AVERAGE(C12:R12)</f>
        <v>-2.4375</v>
      </c>
      <c r="T12" s="46">
        <f>S12</f>
        <v>-2.4375</v>
      </c>
      <c r="U12" s="46">
        <f t="shared" si="2"/>
        <v>-2.4375</v>
      </c>
      <c r="V12" s="46">
        <f t="shared" si="2"/>
        <v>-2.4375</v>
      </c>
      <c r="W12" s="46">
        <f t="shared" ref="W12:AL12" si="4">V12</f>
        <v>-2.4375</v>
      </c>
      <c r="X12" s="46">
        <f t="shared" si="4"/>
        <v>-2.4375</v>
      </c>
      <c r="Y12" s="46">
        <f t="shared" si="4"/>
        <v>-2.4375</v>
      </c>
      <c r="Z12" s="46">
        <f t="shared" si="4"/>
        <v>-2.4375</v>
      </c>
      <c r="AA12" s="46">
        <f t="shared" si="4"/>
        <v>-2.4375</v>
      </c>
      <c r="AB12" s="46">
        <f t="shared" si="4"/>
        <v>-2.4375</v>
      </c>
      <c r="AC12" s="46">
        <f t="shared" si="4"/>
        <v>-2.4375</v>
      </c>
      <c r="AD12" s="46">
        <f t="shared" si="4"/>
        <v>-2.4375</v>
      </c>
      <c r="AE12" s="46">
        <f t="shared" si="4"/>
        <v>-2.4375</v>
      </c>
      <c r="AF12" s="46">
        <f t="shared" si="4"/>
        <v>-2.4375</v>
      </c>
      <c r="AG12" s="46">
        <f t="shared" si="4"/>
        <v>-2.4375</v>
      </c>
      <c r="AH12" s="46">
        <f t="shared" si="4"/>
        <v>-2.4375</v>
      </c>
      <c r="AI12" s="46">
        <f t="shared" si="4"/>
        <v>-2.4375</v>
      </c>
      <c r="AJ12" s="46">
        <f t="shared" si="4"/>
        <v>-2.4375</v>
      </c>
      <c r="AK12" s="46">
        <f t="shared" si="4"/>
        <v>-2.4375</v>
      </c>
      <c r="AL12" s="46">
        <f t="shared" si="4"/>
        <v>-2.4375</v>
      </c>
      <c r="AN12" s="46">
        <f>SUM(C12:F12)</f>
        <v>-7</v>
      </c>
      <c r="AO12" s="46">
        <f>SUM(G12:J12)</f>
        <v>-12</v>
      </c>
      <c r="AP12" s="46">
        <f>SUM(K12:N12)</f>
        <v>-12</v>
      </c>
      <c r="AQ12" s="46">
        <f>SUM(O12:R12)</f>
        <v>-8</v>
      </c>
      <c r="AR12" s="61">
        <f>AVERAGE(AN12:AQ12)</f>
        <v>-9.75</v>
      </c>
      <c r="AS12" s="61">
        <f>AR12</f>
        <v>-9.75</v>
      </c>
      <c r="AT12" s="61">
        <f t="shared" ref="AT12:AV12" si="5">AS12</f>
        <v>-9.75</v>
      </c>
      <c r="AU12" s="61">
        <f t="shared" si="5"/>
        <v>-9.75</v>
      </c>
      <c r="AV12" s="61">
        <f t="shared" si="5"/>
        <v>-9.75</v>
      </c>
    </row>
    <row r="13" spans="1:52" outlineLevel="1" x14ac:dyDescent="0.2">
      <c r="B13" s="8" t="s">
        <v>70</v>
      </c>
      <c r="C13" s="9">
        <v>2803</v>
      </c>
      <c r="D13" s="9">
        <v>2853</v>
      </c>
      <c r="E13" s="9">
        <v>2892</v>
      </c>
      <c r="F13" s="9">
        <v>2966</v>
      </c>
      <c r="G13" s="9">
        <v>3014</v>
      </c>
      <c r="H13" s="9">
        <v>3052</v>
      </c>
      <c r="I13" s="9">
        <v>3090</v>
      </c>
      <c r="J13" s="9">
        <v>3187</v>
      </c>
      <c r="K13" s="9">
        <v>3224</v>
      </c>
      <c r="L13" s="9">
        <v>3268</v>
      </c>
      <c r="M13" s="9">
        <v>3321</v>
      </c>
      <c r="N13" s="9">
        <v>3437</v>
      </c>
      <c r="O13" s="9">
        <v>3479</v>
      </c>
      <c r="P13" s="9">
        <v>3530</v>
      </c>
      <c r="Q13" s="9">
        <v>3615</v>
      </c>
      <c r="R13" s="9">
        <v>3726</v>
      </c>
      <c r="S13" s="18">
        <f>R13+SUM(S10:S12)</f>
        <v>3782.125</v>
      </c>
      <c r="T13" s="18">
        <f t="shared" ref="T13:V13" si="6">S13+SUM(T10:T12)</f>
        <v>3854.25</v>
      </c>
      <c r="U13" s="18">
        <f t="shared" si="6"/>
        <v>3930.375</v>
      </c>
      <c r="V13" s="18">
        <f t="shared" si="6"/>
        <v>4056.5</v>
      </c>
      <c r="W13" s="18">
        <f t="shared" ref="W13" si="7">V13+SUM(W10:W12)</f>
        <v>4118.625</v>
      </c>
      <c r="X13" s="18">
        <f t="shared" ref="X13" si="8">W13+SUM(X10:X12)</f>
        <v>4198.75</v>
      </c>
      <c r="Y13" s="18">
        <f t="shared" ref="Y13" si="9">X13+SUM(Y10:Y12)</f>
        <v>4282.875</v>
      </c>
      <c r="Z13" s="18">
        <f t="shared" ref="Z13" si="10">Y13+SUM(Z10:Z12)</f>
        <v>4422</v>
      </c>
      <c r="AA13" s="18">
        <f t="shared" ref="AA13" si="11">Z13+SUM(AA10:AA12)</f>
        <v>4482.125</v>
      </c>
      <c r="AB13" s="18">
        <f t="shared" ref="AB13" si="12">AA13+SUM(AB10:AB12)</f>
        <v>4560.25</v>
      </c>
      <c r="AC13" s="18">
        <f t="shared" ref="AC13" si="13">AB13+SUM(AC10:AC12)</f>
        <v>4642.375</v>
      </c>
      <c r="AD13" s="18">
        <f t="shared" ref="AD13" si="14">AC13+SUM(AD10:AD12)</f>
        <v>4778.5</v>
      </c>
      <c r="AE13" s="18">
        <f t="shared" ref="AE13" si="15">AD13+SUM(AE10:AE12)</f>
        <v>4834.625</v>
      </c>
      <c r="AF13" s="18">
        <f t="shared" ref="AF13" si="16">AE13+SUM(AF10:AF12)</f>
        <v>4908.75</v>
      </c>
      <c r="AG13" s="18">
        <f t="shared" ref="AG13" si="17">AF13+SUM(AG10:AG12)</f>
        <v>4985.875</v>
      </c>
      <c r="AH13" s="18">
        <f t="shared" ref="AH13" si="18">AG13+SUM(AH10:AH12)</f>
        <v>5114</v>
      </c>
      <c r="AI13" s="18">
        <f t="shared" ref="AI13" si="19">AH13+SUM(AI10:AI12)</f>
        <v>5183.125</v>
      </c>
      <c r="AJ13" s="18">
        <f t="shared" ref="AJ13" si="20">AI13+SUM(AJ10:AJ12)</f>
        <v>5273.25</v>
      </c>
      <c r="AK13" s="18">
        <f t="shared" ref="AK13" si="21">AJ13+SUM(AK10:AK12)</f>
        <v>5367.375</v>
      </c>
      <c r="AL13" s="18">
        <f t="shared" ref="AL13" si="22">AK13+SUM(AL10:AL12)</f>
        <v>5522.5</v>
      </c>
      <c r="AN13" s="46">
        <f>F13</f>
        <v>2966</v>
      </c>
      <c r="AO13" s="46">
        <f>J13</f>
        <v>3187</v>
      </c>
      <c r="AP13" s="46">
        <f>N13</f>
        <v>3437</v>
      </c>
      <c r="AQ13" s="46">
        <f>R13</f>
        <v>3726</v>
      </c>
      <c r="AR13" s="46">
        <f>AQ13+SUM(AR10:AR12)</f>
        <v>4060.5</v>
      </c>
      <c r="AS13" s="46">
        <f t="shared" ref="AS13:AV13" si="23">AR13+SUM(AS10:AS12)</f>
        <v>4431</v>
      </c>
      <c r="AT13" s="46">
        <f t="shared" si="23"/>
        <v>4792.5</v>
      </c>
      <c r="AU13" s="46">
        <f t="shared" si="23"/>
        <v>5132</v>
      </c>
      <c r="AV13" s="46">
        <f t="shared" si="23"/>
        <v>5546.5</v>
      </c>
      <c r="AX13" s="28">
        <f>RATE(5,,-AQ13,AV13)</f>
        <v>8.2817418543857116E-2</v>
      </c>
      <c r="AZ13" s="28">
        <f>RATE(3,,-AN13,AQ13)</f>
        <v>7.9006103429580865E-2</v>
      </c>
    </row>
    <row r="14" spans="1:52" outlineLevel="1" x14ac:dyDescent="0.2">
      <c r="B14" s="8" t="s">
        <v>71</v>
      </c>
      <c r="C14" s="10">
        <v>2313</v>
      </c>
      <c r="D14" s="10">
        <v>2466</v>
      </c>
      <c r="E14" s="10">
        <v>2554</v>
      </c>
      <c r="F14" s="10">
        <v>2641</v>
      </c>
      <c r="G14" s="10">
        <v>2684</v>
      </c>
      <c r="H14" s="10">
        <v>2747</v>
      </c>
      <c r="I14" s="10">
        <v>2796</v>
      </c>
      <c r="J14" s="10">
        <v>2824</v>
      </c>
      <c r="K14" s="10">
        <v>2892</v>
      </c>
      <c r="L14" s="10">
        <v>2941</v>
      </c>
      <c r="M14" s="10">
        <v>2972</v>
      </c>
      <c r="N14" s="10">
        <v>3018</v>
      </c>
      <c r="O14" s="10">
        <v>3082</v>
      </c>
      <c r="P14" s="10">
        <v>3146</v>
      </c>
      <c r="Q14" s="10">
        <v>3184</v>
      </c>
      <c r="R14" s="10">
        <v>3213</v>
      </c>
    </row>
    <row r="15" spans="1:52" outlineLevel="1" x14ac:dyDescent="0.2">
      <c r="B15" s="8" t="s">
        <v>72</v>
      </c>
      <c r="C15" s="11">
        <v>0.17199999999999999</v>
      </c>
      <c r="D15" s="11">
        <v>0.312</v>
      </c>
      <c r="E15" s="11">
        <v>0.151</v>
      </c>
      <c r="F15" s="11">
        <v>0.152</v>
      </c>
      <c r="G15" s="11">
        <v>0.09</v>
      </c>
      <c r="H15" s="11">
        <v>0.10100000000000001</v>
      </c>
      <c r="I15" s="11">
        <v>7.5999999999999998E-2</v>
      </c>
      <c r="J15" s="11">
        <v>5.6000000000000001E-2</v>
      </c>
      <c r="K15" s="11">
        <v>0.109</v>
      </c>
      <c r="L15" s="11">
        <v>7.3999999999999996E-2</v>
      </c>
      <c r="M15" s="11">
        <v>0.05</v>
      </c>
      <c r="N15" s="11">
        <v>8.4000000000000005E-2</v>
      </c>
      <c r="O15" s="11">
        <v>7.0000000000000007E-2</v>
      </c>
      <c r="P15" s="11">
        <v>0.111</v>
      </c>
      <c r="Q15" s="11">
        <v>0.06</v>
      </c>
      <c r="R15" s="11">
        <v>5.4000000000000013E-2</v>
      </c>
      <c r="S15" s="27" t="e">
        <f>SUM(S22:S23)</f>
        <v>#REF!</v>
      </c>
      <c r="T15" s="27" t="e">
        <f t="shared" ref="T15:V15" si="24">SUM(T22:T23)</f>
        <v>#REF!</v>
      </c>
      <c r="U15" s="27" t="e">
        <f t="shared" si="24"/>
        <v>#REF!</v>
      </c>
      <c r="V15" s="27" t="e">
        <f t="shared" si="24"/>
        <v>#REF!</v>
      </c>
      <c r="W15" s="27" t="e">
        <f t="shared" ref="W15:AL15" si="25">SUM(W22:W23)</f>
        <v>#REF!</v>
      </c>
      <c r="X15" s="27" t="e">
        <f t="shared" si="25"/>
        <v>#REF!</v>
      </c>
      <c r="Y15" s="27" t="e">
        <f t="shared" si="25"/>
        <v>#REF!</v>
      </c>
      <c r="Z15" s="27" t="e">
        <f t="shared" si="25"/>
        <v>#REF!</v>
      </c>
      <c r="AA15" s="27" t="e">
        <f t="shared" si="25"/>
        <v>#REF!</v>
      </c>
      <c r="AB15" s="27" t="e">
        <f t="shared" si="25"/>
        <v>#REF!</v>
      </c>
      <c r="AC15" s="27" t="e">
        <f t="shared" si="25"/>
        <v>#REF!</v>
      </c>
      <c r="AD15" s="27" t="e">
        <f t="shared" si="25"/>
        <v>#REF!</v>
      </c>
      <c r="AE15" s="27" t="e">
        <f t="shared" si="25"/>
        <v>#REF!</v>
      </c>
      <c r="AF15" s="27" t="e">
        <f t="shared" si="25"/>
        <v>#REF!</v>
      </c>
      <c r="AG15" s="27" t="e">
        <f t="shared" si="25"/>
        <v>#REF!</v>
      </c>
      <c r="AH15" s="27" t="e">
        <f t="shared" si="25"/>
        <v>#REF!</v>
      </c>
      <c r="AI15" s="27" t="e">
        <f t="shared" si="25"/>
        <v>#REF!</v>
      </c>
      <c r="AJ15" s="27" t="e">
        <f t="shared" si="25"/>
        <v>#REF!</v>
      </c>
      <c r="AK15" s="27" t="e">
        <f t="shared" si="25"/>
        <v>#REF!</v>
      </c>
      <c r="AL15" s="27" t="e">
        <f t="shared" si="25"/>
        <v>#REF!</v>
      </c>
      <c r="AP15" s="27">
        <f>SUM(AP22:AP23)</f>
        <v>7.9000000000000001E-2</v>
      </c>
      <c r="AQ15" s="27">
        <f>SUM(AQ22:AQ23)</f>
        <v>7.3999999999999996E-2</v>
      </c>
      <c r="AR15" s="62">
        <f>SUM(AR22:AR23)</f>
        <v>4.8000000000000001E-2</v>
      </c>
      <c r="AS15" s="62">
        <f t="shared" ref="AS15:AV15" si="26">SUM(AS22:AS23)</f>
        <v>4.9000000000000002E-2</v>
      </c>
      <c r="AT15" s="62">
        <f t="shared" si="26"/>
        <v>0.05</v>
      </c>
      <c r="AU15" s="62">
        <f t="shared" si="26"/>
        <v>5.1000000000000004E-2</v>
      </c>
      <c r="AV15" s="62">
        <f t="shared" si="26"/>
        <v>5.2000000000000005E-2</v>
      </c>
    </row>
    <row r="16" spans="1:52" outlineLevel="1" x14ac:dyDescent="0.2"/>
    <row r="17" spans="2:48" outlineLevel="1" x14ac:dyDescent="0.2">
      <c r="B17" s="4" t="s">
        <v>170</v>
      </c>
      <c r="C17" s="9">
        <f t="shared" ref="C17:R17" si="27">C38/C13</f>
        <v>621.32536567962893</v>
      </c>
      <c r="D17" s="9">
        <f t="shared" si="27"/>
        <v>663.35015772870668</v>
      </c>
      <c r="E17" s="9">
        <f t="shared" si="27"/>
        <v>675.07434301521437</v>
      </c>
      <c r="F17" s="9">
        <f t="shared" si="27"/>
        <v>661.03607552258939</v>
      </c>
      <c r="G17" s="9">
        <f t="shared" si="27"/>
        <v>670.38453881884539</v>
      </c>
      <c r="H17" s="9">
        <f t="shared" si="27"/>
        <v>725.20937090432506</v>
      </c>
      <c r="I17" s="9">
        <f t="shared" si="27"/>
        <v>718.50323624595467</v>
      </c>
      <c r="J17" s="9">
        <f t="shared" si="27"/>
        <v>684.21681832444301</v>
      </c>
      <c r="K17" s="9">
        <f t="shared" si="27"/>
        <v>734.67121588089333</v>
      </c>
      <c r="L17" s="9">
        <f t="shared" si="27"/>
        <v>769.52294981640148</v>
      </c>
      <c r="M17" s="9">
        <f t="shared" si="27"/>
        <v>744.33845227341158</v>
      </c>
      <c r="N17" s="9">
        <f t="shared" si="27"/>
        <v>732.12685481524591</v>
      </c>
      <c r="O17" s="9">
        <f t="shared" si="27"/>
        <v>776.61626904282843</v>
      </c>
      <c r="P17" s="9">
        <f t="shared" si="27"/>
        <v>842.24277620396606</v>
      </c>
      <c r="Q17" s="9">
        <f t="shared" si="27"/>
        <v>772.77344398340244</v>
      </c>
      <c r="R17" s="9">
        <f t="shared" si="27"/>
        <v>763.63660762211487</v>
      </c>
      <c r="S17" s="9"/>
      <c r="T17" s="18"/>
      <c r="U17" s="18"/>
      <c r="V17" s="18"/>
      <c r="W17" s="18"/>
      <c r="X17" s="18"/>
      <c r="Y17" s="18"/>
      <c r="Z17" s="18"/>
      <c r="AA17" s="4" t="e">
        <f>(#REF!+1)^3*X17</f>
        <v>#REF!</v>
      </c>
      <c r="AB17" s="4" t="e">
        <f>(#REF!+1)^3*Y17</f>
        <v>#REF!</v>
      </c>
      <c r="AC17" s="4" t="e">
        <f>(#REF!+1)^3*Z17</f>
        <v>#REF!</v>
      </c>
      <c r="AD17" s="4" t="e">
        <f>(#REF!+1)^3*AA17</f>
        <v>#REF!</v>
      </c>
      <c r="AE17" s="4" t="e">
        <f>(#REF!+1)^3*AB17</f>
        <v>#REF!</v>
      </c>
      <c r="AF17" s="4" t="e">
        <f>(#REF!+1)^3*AC17</f>
        <v>#REF!</v>
      </c>
      <c r="AG17" s="4" t="e">
        <f>(#REF!+1)^3*AD17</f>
        <v>#REF!</v>
      </c>
      <c r="AH17" s="4" t="e">
        <f>(#REF!+1)^3*AE17</f>
        <v>#REF!</v>
      </c>
      <c r="AI17" s="4" t="e">
        <f>(#REF!+1)^3*AF17</f>
        <v>#REF!</v>
      </c>
      <c r="AJ17" s="4" t="e">
        <f>(#REF!+1)^3*AG17</f>
        <v>#REF!</v>
      </c>
      <c r="AK17" s="4" t="e">
        <f>(#REF!+1)^3*AH17</f>
        <v>#REF!</v>
      </c>
      <c r="AL17" s="4" t="e">
        <f>(#REF!+1)^3*AI17</f>
        <v>#REF!</v>
      </c>
      <c r="AN17" s="9">
        <f t="shared" ref="AN17:AV17" si="28">AN38/AN13</f>
        <v>2544.5249494268373</v>
      </c>
      <c r="AO17" s="9">
        <f t="shared" si="28"/>
        <v>2709.3354251647315</v>
      </c>
      <c r="AP17" s="9">
        <f t="shared" si="28"/>
        <v>2872.1702065755021</v>
      </c>
      <c r="AQ17" s="9">
        <f t="shared" si="28"/>
        <v>3036.4602791196994</v>
      </c>
      <c r="AR17" s="9">
        <f t="shared" si="28"/>
        <v>3051.1366907532429</v>
      </c>
      <c r="AS17" s="9">
        <f t="shared" si="28"/>
        <v>3066.8308330848777</v>
      </c>
      <c r="AT17" s="9">
        <f t="shared" si="28"/>
        <v>3098.7229940955958</v>
      </c>
      <c r="AU17" s="9">
        <f t="shared" si="28"/>
        <v>3149.0348255067938</v>
      </c>
      <c r="AV17" s="9">
        <f t="shared" si="28"/>
        <v>3188.9994356938041</v>
      </c>
    </row>
    <row r="18" spans="2:48" outlineLevel="1" x14ac:dyDescent="0.2">
      <c r="B18" s="4" t="s">
        <v>190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76"/>
      <c r="S18" s="18" t="e">
        <f>(R13+S10)*O17*(1+S15)/4</f>
        <v>#REF!</v>
      </c>
      <c r="T18" s="18" t="e">
        <f>(S13+T10)*P17*(1+T15)/4</f>
        <v>#REF!</v>
      </c>
      <c r="U18" s="18" t="e">
        <f>(T13+U10)*Q17*(1+U15)/4</f>
        <v>#REF!</v>
      </c>
      <c r="V18" s="18" t="e">
        <f>(U13+V10)*R17*(1+V15)/4</f>
        <v>#REF!</v>
      </c>
      <c r="W18" s="18"/>
      <c r="X18" s="18"/>
      <c r="Y18" s="18"/>
      <c r="Z18" s="18"/>
      <c r="AR18" s="9">
        <f>AQ17*AQ13*(1+AR15)</f>
        <v>11856915.848000001</v>
      </c>
      <c r="AS18" s="9">
        <f>AR17*AR13*(1+AS15)</f>
        <v>12996208.418910915</v>
      </c>
      <c r="AT18" s="9">
        <f>AS17*AS13*(1+AT15)</f>
        <v>14268583.792469047</v>
      </c>
      <c r="AU18" s="9">
        <f>AT17*AT13*(1+AU15)</f>
        <v>15608012.076612502</v>
      </c>
      <c r="AV18" s="9">
        <f>AU17*AU13*(1+AV15)</f>
        <v>17001210.754174914</v>
      </c>
    </row>
    <row r="19" spans="2:48" outlineLevel="1" x14ac:dyDescent="0.2">
      <c r="B19" s="26" t="s">
        <v>191</v>
      </c>
      <c r="F19" s="17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AR19" s="9">
        <f>(AR13-AQ13)*AR8*AQ17*(1+AR15)</f>
        <v>532224.68480354268</v>
      </c>
      <c r="AS19" s="9">
        <f>(AS13-AR13)*AS8*AR17*(1+AS15)</f>
        <v>592919.00248817808</v>
      </c>
      <c r="AT19" s="9">
        <f>(AT13-AS13)*AT8*AS17*(1+AT15)</f>
        <v>582046.15673409624</v>
      </c>
      <c r="AU19" s="9">
        <f>(AU13-AT13)*AU8*AT17*(1+AU15)</f>
        <v>552834.64788836148</v>
      </c>
      <c r="AV19" s="9">
        <f>(AV13-AU13)*AV8*AU17*(1+AV15)</f>
        <v>686574.61590076971</v>
      </c>
    </row>
    <row r="20" spans="2:48" ht="15" outlineLevel="1" x14ac:dyDescent="0.25">
      <c r="B20" s="40" t="s">
        <v>192</v>
      </c>
      <c r="F20" s="17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AQ20" s="41">
        <f>AQ38</f>
        <v>11313851</v>
      </c>
      <c r="AR20" s="41">
        <f>SUM(AR18:AR19)</f>
        <v>12389140.532803543</v>
      </c>
      <c r="AS20" s="41">
        <f t="shared" ref="AS20:AV20" si="29">SUM(AS18:AS19)</f>
        <v>13589127.421399092</v>
      </c>
      <c r="AT20" s="41">
        <f t="shared" si="29"/>
        <v>14850629.949203143</v>
      </c>
      <c r="AU20" s="41">
        <f t="shared" si="29"/>
        <v>16160846.724500865</v>
      </c>
      <c r="AV20" s="41">
        <f t="shared" si="29"/>
        <v>17687785.370075684</v>
      </c>
    </row>
    <row r="21" spans="2:48" outlineLevel="1" x14ac:dyDescent="0.2">
      <c r="F21" s="17"/>
      <c r="G21" s="30"/>
      <c r="H21" s="30"/>
      <c r="I21" s="30"/>
      <c r="J21" s="30"/>
      <c r="K21" s="33"/>
      <c r="L21" s="30"/>
      <c r="M21" s="30"/>
      <c r="N21" s="30"/>
      <c r="O21" s="30"/>
      <c r="P21" s="30"/>
      <c r="Q21" s="30"/>
      <c r="R21" s="30"/>
    </row>
    <row r="22" spans="2:48" outlineLevel="1" x14ac:dyDescent="0.2">
      <c r="B22" s="4" t="s">
        <v>139</v>
      </c>
      <c r="C22" s="31"/>
      <c r="D22" s="31"/>
      <c r="E22" s="31"/>
      <c r="F22" s="31"/>
      <c r="G22" s="31"/>
      <c r="H22" s="31"/>
      <c r="I22" s="31"/>
      <c r="J22" s="31"/>
      <c r="K22" s="31">
        <v>4.1000000000000002E-2</v>
      </c>
      <c r="L22" s="31">
        <v>4.3999999999999997E-2</v>
      </c>
      <c r="M22" s="31">
        <v>4.1000000000000002E-2</v>
      </c>
      <c r="N22" s="31">
        <v>7.3999999999999996E-2</v>
      </c>
      <c r="O22" s="31">
        <v>5.3999999999999999E-2</v>
      </c>
      <c r="P22" s="31">
        <v>8.6999999999999994E-2</v>
      </c>
      <c r="Q22" s="31">
        <v>3.3000000000000002E-2</v>
      </c>
      <c r="R22" s="31">
        <v>0.04</v>
      </c>
      <c r="S22" s="49">
        <f t="shared" ref="S22:AL22" si="30">AVERAGE(K22,O22)</f>
        <v>4.7500000000000001E-2</v>
      </c>
      <c r="T22" s="49">
        <f t="shared" si="30"/>
        <v>6.5500000000000003E-2</v>
      </c>
      <c r="U22" s="49">
        <f t="shared" si="30"/>
        <v>3.7000000000000005E-2</v>
      </c>
      <c r="V22" s="49">
        <f t="shared" si="30"/>
        <v>5.6999999999999995E-2</v>
      </c>
      <c r="W22" s="49">
        <f t="shared" si="30"/>
        <v>5.0750000000000003E-2</v>
      </c>
      <c r="X22" s="49">
        <f t="shared" si="30"/>
        <v>7.6249999999999998E-2</v>
      </c>
      <c r="Y22" s="49">
        <f t="shared" si="30"/>
        <v>3.5000000000000003E-2</v>
      </c>
      <c r="Z22" s="49">
        <f t="shared" si="30"/>
        <v>4.8500000000000001E-2</v>
      </c>
      <c r="AA22" s="49">
        <f t="shared" si="30"/>
        <v>4.9125000000000002E-2</v>
      </c>
      <c r="AB22" s="49">
        <f t="shared" si="30"/>
        <v>7.0874999999999994E-2</v>
      </c>
      <c r="AC22" s="49">
        <f t="shared" si="30"/>
        <v>3.6000000000000004E-2</v>
      </c>
      <c r="AD22" s="49">
        <f t="shared" si="30"/>
        <v>5.2749999999999998E-2</v>
      </c>
      <c r="AE22" s="49">
        <f t="shared" si="30"/>
        <v>4.9937500000000003E-2</v>
      </c>
      <c r="AF22" s="49">
        <f t="shared" si="30"/>
        <v>7.3562500000000003E-2</v>
      </c>
      <c r="AG22" s="49">
        <f t="shared" si="30"/>
        <v>3.5500000000000004E-2</v>
      </c>
      <c r="AH22" s="49">
        <f t="shared" si="30"/>
        <v>5.0625000000000003E-2</v>
      </c>
      <c r="AI22" s="49">
        <f t="shared" si="30"/>
        <v>4.9531249999999999E-2</v>
      </c>
      <c r="AJ22" s="49">
        <f t="shared" si="30"/>
        <v>7.2218749999999998E-2</v>
      </c>
      <c r="AK22" s="49">
        <f t="shared" si="30"/>
        <v>3.5750000000000004E-2</v>
      </c>
      <c r="AL22" s="49">
        <f t="shared" si="30"/>
        <v>5.1687499999999997E-2</v>
      </c>
      <c r="AM22" s="31"/>
      <c r="AN22" s="31"/>
      <c r="AO22" s="31"/>
      <c r="AP22" s="31">
        <v>0.05</v>
      </c>
      <c r="AQ22" s="31">
        <v>5.2999999999999999E-2</v>
      </c>
      <c r="AR22" s="62">
        <v>3.5000000000000003E-2</v>
      </c>
      <c r="AS22" s="62">
        <f>AR22</f>
        <v>3.5000000000000003E-2</v>
      </c>
      <c r="AT22" s="62">
        <f t="shared" ref="AT22:AV22" si="31">AS22</f>
        <v>3.5000000000000003E-2</v>
      </c>
      <c r="AU22" s="62">
        <f t="shared" si="31"/>
        <v>3.5000000000000003E-2</v>
      </c>
      <c r="AV22" s="62">
        <f t="shared" si="31"/>
        <v>3.5000000000000003E-2</v>
      </c>
    </row>
    <row r="23" spans="2:48" outlineLevel="1" x14ac:dyDescent="0.2">
      <c r="B23" s="4" t="s">
        <v>140</v>
      </c>
      <c r="C23" s="31"/>
      <c r="D23" s="31"/>
      <c r="E23" s="31"/>
      <c r="F23" s="31"/>
      <c r="G23" s="31"/>
      <c r="H23" s="31"/>
      <c r="I23" s="31"/>
      <c r="J23" s="31"/>
      <c r="K23" s="31">
        <v>6.8000000000000005E-2</v>
      </c>
      <c r="L23" s="31">
        <v>0.03</v>
      </c>
      <c r="M23" s="31">
        <v>8.9999999999999993E-3</v>
      </c>
      <c r="N23" s="31">
        <v>0.01</v>
      </c>
      <c r="O23" s="31">
        <v>1.6E-2</v>
      </c>
      <c r="P23" s="31">
        <v>2.4E-2</v>
      </c>
      <c r="Q23" s="31">
        <v>2.7E-2</v>
      </c>
      <c r="R23" s="31">
        <v>1.4E-2</v>
      </c>
      <c r="S23" s="49" t="e">
        <f>SUM(S24:S25)</f>
        <v>#REF!</v>
      </c>
      <c r="T23" s="49" t="e">
        <f t="shared" ref="T23:V23" si="32">SUM(T24:T25)</f>
        <v>#REF!</v>
      </c>
      <c r="U23" s="49" t="e">
        <f t="shared" si="32"/>
        <v>#REF!</v>
      </c>
      <c r="V23" s="49" t="e">
        <f t="shared" si="32"/>
        <v>#REF!</v>
      </c>
      <c r="W23" s="49" t="e">
        <f t="shared" ref="W23" si="33">S23</f>
        <v>#REF!</v>
      </c>
      <c r="X23" s="49" t="e">
        <f t="shared" ref="X23" si="34">T23</f>
        <v>#REF!</v>
      </c>
      <c r="Y23" s="49" t="e">
        <f t="shared" ref="Y23" si="35">U23</f>
        <v>#REF!</v>
      </c>
      <c r="Z23" s="49" t="e">
        <f t="shared" ref="Z23" si="36">V23</f>
        <v>#REF!</v>
      </c>
      <c r="AA23" s="49" t="e">
        <f t="shared" ref="AA23" si="37">W23</f>
        <v>#REF!</v>
      </c>
      <c r="AB23" s="49" t="e">
        <f t="shared" ref="AB23" si="38">X23</f>
        <v>#REF!</v>
      </c>
      <c r="AC23" s="49" t="e">
        <f t="shared" ref="AC23" si="39">Y23</f>
        <v>#REF!</v>
      </c>
      <c r="AD23" s="49" t="e">
        <f t="shared" ref="AD23" si="40">Z23</f>
        <v>#REF!</v>
      </c>
      <c r="AE23" s="49" t="e">
        <f t="shared" ref="AE23" si="41">AA23</f>
        <v>#REF!</v>
      </c>
      <c r="AF23" s="49" t="e">
        <f t="shared" ref="AF23" si="42">AB23</f>
        <v>#REF!</v>
      </c>
      <c r="AG23" s="49" t="e">
        <f t="shared" ref="AG23" si="43">AC23</f>
        <v>#REF!</v>
      </c>
      <c r="AH23" s="49" t="e">
        <f t="shared" ref="AH23" si="44">AD23</f>
        <v>#REF!</v>
      </c>
      <c r="AI23" s="49" t="e">
        <f t="shared" ref="AI23" si="45">AE23</f>
        <v>#REF!</v>
      </c>
      <c r="AJ23" s="49" t="e">
        <f t="shared" ref="AJ23" si="46">AF23</f>
        <v>#REF!</v>
      </c>
      <c r="AK23" s="49" t="e">
        <f t="shared" ref="AK23" si="47">AG23</f>
        <v>#REF!</v>
      </c>
      <c r="AL23" s="49" t="e">
        <f t="shared" ref="AL23" si="48">AH23</f>
        <v>#REF!</v>
      </c>
      <c r="AM23" s="31"/>
      <c r="AN23" s="31"/>
      <c r="AO23" s="31"/>
      <c r="AP23" s="31">
        <v>2.9000000000000001E-2</v>
      </c>
      <c r="AQ23" s="31">
        <v>2.1000000000000001E-2</v>
      </c>
      <c r="AR23" s="86">
        <f>SUM(AR24:AR25)</f>
        <v>1.3000000000000001E-2</v>
      </c>
      <c r="AS23" s="86">
        <f t="shared" ref="AS23:AV23" si="49">SUM(AS24:AS25)</f>
        <v>1.4E-2</v>
      </c>
      <c r="AT23" s="86">
        <f t="shared" si="49"/>
        <v>1.4999999999999999E-2</v>
      </c>
      <c r="AU23" s="86">
        <f t="shared" si="49"/>
        <v>1.6E-2</v>
      </c>
      <c r="AV23" s="86">
        <f t="shared" si="49"/>
        <v>1.7000000000000001E-2</v>
      </c>
    </row>
    <row r="24" spans="2:48" outlineLevel="1" x14ac:dyDescent="0.2">
      <c r="B24" s="26" t="s">
        <v>141</v>
      </c>
      <c r="C24" s="31"/>
      <c r="D24" s="31"/>
      <c r="E24" s="31"/>
      <c r="F24" s="31"/>
      <c r="G24" s="31"/>
      <c r="H24" s="31"/>
      <c r="I24" s="31"/>
      <c r="J24" s="31"/>
      <c r="K24" s="31">
        <v>0.10100000000000001</v>
      </c>
      <c r="L24" s="31">
        <v>5.6000000000000001E-2</v>
      </c>
      <c r="M24" s="31">
        <v>2.8000000000000001E-2</v>
      </c>
      <c r="N24" s="48">
        <v>5.0000000000000001E-3</v>
      </c>
      <c r="O24" s="31">
        <v>2.7E-2</v>
      </c>
      <c r="P24" s="31">
        <v>3.3000000000000002E-2</v>
      </c>
      <c r="Q24" s="31">
        <v>3.5999999999999997E-2</v>
      </c>
      <c r="R24" s="48">
        <v>7.0000000000000001E-3</v>
      </c>
      <c r="S24" s="49" t="e">
        <f>O24*(1+#REF!)</f>
        <v>#REF!</v>
      </c>
      <c r="T24" s="49" t="e">
        <f>P24*(1+#REF!)</f>
        <v>#REF!</v>
      </c>
      <c r="U24" s="49" t="e">
        <f>Q24*(1+#REF!)</f>
        <v>#REF!</v>
      </c>
      <c r="V24" s="49" t="e">
        <f>R24*(1+#REF!)</f>
        <v>#REF!</v>
      </c>
      <c r="W24" s="49" t="e">
        <f>S24*(1+#REF!)</f>
        <v>#REF!</v>
      </c>
      <c r="X24" s="49" t="e">
        <f>T24*(1+#REF!)</f>
        <v>#REF!</v>
      </c>
      <c r="Y24" s="49" t="e">
        <f>U24*(1+#REF!)</f>
        <v>#REF!</v>
      </c>
      <c r="Z24" s="49" t="e">
        <f>V24*(1+#REF!)</f>
        <v>#REF!</v>
      </c>
      <c r="AA24" s="49" t="e">
        <f>W24*(1+#REF!)</f>
        <v>#REF!</v>
      </c>
      <c r="AB24" s="49" t="e">
        <f>X24*(1+#REF!)</f>
        <v>#REF!</v>
      </c>
      <c r="AC24" s="49" t="e">
        <f>Y24*(1+#REF!)</f>
        <v>#REF!</v>
      </c>
      <c r="AD24" s="49" t="e">
        <f>Z24*(1+#REF!)</f>
        <v>#REF!</v>
      </c>
      <c r="AE24" s="49" t="e">
        <f>AA24*(1+#REF!)</f>
        <v>#REF!</v>
      </c>
      <c r="AF24" s="49" t="e">
        <f>AB24*(1+#REF!)</f>
        <v>#REF!</v>
      </c>
      <c r="AG24" s="49" t="e">
        <f>AC24*(1+#REF!)</f>
        <v>#REF!</v>
      </c>
      <c r="AH24" s="49" t="e">
        <f>AD24*(1+#REF!)</f>
        <v>#REF!</v>
      </c>
      <c r="AI24" s="49" t="e">
        <f>AE24*(1+#REF!)</f>
        <v>#REF!</v>
      </c>
      <c r="AJ24" s="49" t="e">
        <f>AF24*(1+#REF!)</f>
        <v>#REF!</v>
      </c>
      <c r="AK24" s="49" t="e">
        <f>AG24*(1+#REF!)</f>
        <v>#REF!</v>
      </c>
      <c r="AL24" s="49" t="e">
        <f>AH24*(1+#REF!)</f>
        <v>#REF!</v>
      </c>
      <c r="AM24" s="31"/>
      <c r="AN24" s="31"/>
      <c r="AO24" s="31"/>
      <c r="AP24" s="31">
        <v>5.1999999999999998E-2</v>
      </c>
      <c r="AQ24" s="31">
        <v>2.9000000000000001E-2</v>
      </c>
      <c r="AR24" s="62">
        <v>0.02</v>
      </c>
      <c r="AS24" s="62">
        <v>0.02</v>
      </c>
      <c r="AT24" s="62">
        <v>0.02</v>
      </c>
      <c r="AU24" s="62">
        <v>0.02</v>
      </c>
      <c r="AV24" s="62">
        <v>0.02</v>
      </c>
    </row>
    <row r="25" spans="2:48" outlineLevel="1" x14ac:dyDescent="0.2">
      <c r="B25" s="26" t="s">
        <v>142</v>
      </c>
      <c r="C25" s="31"/>
      <c r="D25" s="31"/>
      <c r="E25" s="31"/>
      <c r="F25" s="33"/>
      <c r="G25" s="31"/>
      <c r="H25" s="31"/>
      <c r="I25" s="31"/>
      <c r="J25" s="31"/>
      <c r="K25" s="31">
        <v>-3.3000000000000002E-2</v>
      </c>
      <c r="L25" s="31">
        <v>-2.5999999999999999E-2</v>
      </c>
      <c r="M25" s="31">
        <v>-1.9E-2</v>
      </c>
      <c r="N25" s="48">
        <v>5.0000000000000001E-3</v>
      </c>
      <c r="O25" s="31">
        <v>-1.0999999999999999E-2</v>
      </c>
      <c r="P25" s="31">
        <v>-8.9999999999999993E-3</v>
      </c>
      <c r="Q25" s="31">
        <v>-8.9999999999999993E-3</v>
      </c>
      <c r="R25" s="48">
        <v>7.0000000000000001E-3</v>
      </c>
      <c r="S25" s="49" t="e">
        <f>O25*(1+#REF!)/100</f>
        <v>#REF!</v>
      </c>
      <c r="T25" s="49" t="e">
        <f>P25*(1+#REF!)/100</f>
        <v>#REF!</v>
      </c>
      <c r="U25" s="49" t="e">
        <f>Q25*(1+#REF!)/100</f>
        <v>#REF!</v>
      </c>
      <c r="V25" s="49" t="e">
        <f>R25*(1+#REF!)/100</f>
        <v>#REF!</v>
      </c>
      <c r="W25" s="49" t="e">
        <f>S25</f>
        <v>#REF!</v>
      </c>
      <c r="X25" s="49" t="e">
        <f t="shared" ref="X25:AL25" si="50">T25</f>
        <v>#REF!</v>
      </c>
      <c r="Y25" s="49" t="e">
        <f t="shared" si="50"/>
        <v>#REF!</v>
      </c>
      <c r="Z25" s="49" t="e">
        <f t="shared" si="50"/>
        <v>#REF!</v>
      </c>
      <c r="AA25" s="49" t="e">
        <f t="shared" si="50"/>
        <v>#REF!</v>
      </c>
      <c r="AB25" s="49" t="e">
        <f t="shared" si="50"/>
        <v>#REF!</v>
      </c>
      <c r="AC25" s="49" t="e">
        <f t="shared" si="50"/>
        <v>#REF!</v>
      </c>
      <c r="AD25" s="49" t="e">
        <f t="shared" si="50"/>
        <v>#REF!</v>
      </c>
      <c r="AE25" s="49" t="e">
        <f t="shared" si="50"/>
        <v>#REF!</v>
      </c>
      <c r="AF25" s="49" t="e">
        <f t="shared" si="50"/>
        <v>#REF!</v>
      </c>
      <c r="AG25" s="49" t="e">
        <f t="shared" si="50"/>
        <v>#REF!</v>
      </c>
      <c r="AH25" s="49" t="e">
        <f t="shared" si="50"/>
        <v>#REF!</v>
      </c>
      <c r="AI25" s="49" t="e">
        <f t="shared" si="50"/>
        <v>#REF!</v>
      </c>
      <c r="AJ25" s="49" t="e">
        <f t="shared" si="50"/>
        <v>#REF!</v>
      </c>
      <c r="AK25" s="49" t="e">
        <f t="shared" si="50"/>
        <v>#REF!</v>
      </c>
      <c r="AL25" s="49" t="e">
        <f t="shared" si="50"/>
        <v>#REF!</v>
      </c>
      <c r="AM25" s="31"/>
      <c r="AN25" s="31"/>
      <c r="AO25" s="31"/>
      <c r="AP25" s="31">
        <v>-2.3E-2</v>
      </c>
      <c r="AQ25" s="31">
        <v>-8.0000000000000002E-3</v>
      </c>
      <c r="AR25" s="62">
        <f>AQ25+0.1%</f>
        <v>-7.0000000000000001E-3</v>
      </c>
      <c r="AS25" s="62">
        <f t="shared" ref="AS25:AV25" si="51">AR25+0.1%</f>
        <v>-6.0000000000000001E-3</v>
      </c>
      <c r="AT25" s="62">
        <f t="shared" si="51"/>
        <v>-5.0000000000000001E-3</v>
      </c>
      <c r="AU25" s="62">
        <f t="shared" si="51"/>
        <v>-4.0000000000000001E-3</v>
      </c>
      <c r="AV25" s="62">
        <f t="shared" si="51"/>
        <v>-3.0000000000000001E-3</v>
      </c>
    </row>
    <row r="26" spans="2:48" outlineLevel="1" x14ac:dyDescent="0.2">
      <c r="B26" s="26"/>
      <c r="C26" s="51"/>
      <c r="D26" s="51"/>
      <c r="E26" s="51"/>
      <c r="F26" s="52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</row>
    <row r="27" spans="2:48" outlineLevel="1" x14ac:dyDescent="0.2"/>
    <row r="28" spans="2:48" outlineLevel="1" x14ac:dyDescent="0.2">
      <c r="B28" s="4" t="s">
        <v>143</v>
      </c>
      <c r="C28" s="30">
        <v>0.501</v>
      </c>
      <c r="D28" s="30">
        <v>0.48499999999999999</v>
      </c>
      <c r="E28" s="30">
        <v>0.42799999999999999</v>
      </c>
      <c r="F28" s="30">
        <v>0.41599999999999998</v>
      </c>
      <c r="G28" s="30">
        <v>0.41899999999999998</v>
      </c>
      <c r="H28" s="30">
        <v>0.39</v>
      </c>
      <c r="I28" s="30">
        <v>0.372</v>
      </c>
      <c r="J28" s="30">
        <v>0.374</v>
      </c>
      <c r="K28" s="30">
        <v>0.39300000000000002</v>
      </c>
      <c r="L28" s="30">
        <v>0.38</v>
      </c>
      <c r="M28" s="30">
        <v>0.36599999999999999</v>
      </c>
      <c r="N28" s="30">
        <v>0.36099999999999999</v>
      </c>
      <c r="O28" s="30">
        <v>0.36499999999999999</v>
      </c>
      <c r="P28" s="30">
        <v>0.35299999999999998</v>
      </c>
      <c r="Q28" s="30">
        <v>0.34</v>
      </c>
      <c r="R28" s="32">
        <v>0.34399999999999997</v>
      </c>
    </row>
    <row r="29" spans="2:48" outlineLevel="1" x14ac:dyDescent="0.2"/>
    <row r="30" spans="2:48" outlineLevel="1" x14ac:dyDescent="0.2">
      <c r="L30" s="46">
        <f>L38</f>
        <v>2514801</v>
      </c>
      <c r="M30" s="46">
        <f t="shared" ref="M30:R30" si="52">M38</f>
        <v>2471948</v>
      </c>
      <c r="N30" s="46">
        <f t="shared" si="52"/>
        <v>2516320</v>
      </c>
      <c r="O30" s="46">
        <f t="shared" si="52"/>
        <v>2701848</v>
      </c>
      <c r="P30" s="46">
        <f t="shared" si="52"/>
        <v>2973117</v>
      </c>
      <c r="Q30" s="46">
        <f t="shared" si="52"/>
        <v>2793576</v>
      </c>
      <c r="R30" s="46">
        <f t="shared" si="52"/>
        <v>2845310</v>
      </c>
      <c r="S30" s="46" t="e">
        <f>((AVERAGE(L38:O38)/AVERAGE(L13:O13))*(1+#REF!)*AVERAGE(P13:S13))-SUM(P38:R38)</f>
        <v>#REF!</v>
      </c>
    </row>
    <row r="31" spans="2:48" outlineLevel="1" x14ac:dyDescent="0.2">
      <c r="B31" s="4" t="s">
        <v>171</v>
      </c>
      <c r="C31" s="30">
        <f>C36/C$38</f>
        <v>0.98530927465081897</v>
      </c>
      <c r="D31" s="30">
        <f t="shared" ref="D31:R32" si="53">D36/D$38</f>
        <v>0.98775559592462603</v>
      </c>
      <c r="E31" s="30">
        <f t="shared" si="53"/>
        <v>0.98980389947318947</v>
      </c>
      <c r="F31" s="30">
        <f t="shared" si="53"/>
        <v>0.98917288447149465</v>
      </c>
      <c r="G31" s="30">
        <f t="shared" si="53"/>
        <v>0.98931819677818644</v>
      </c>
      <c r="H31" s="30">
        <f t="shared" si="53"/>
        <v>0.99072125869557259</v>
      </c>
      <c r="I31" s="30">
        <f t="shared" si="53"/>
        <v>0.99196504780028605</v>
      </c>
      <c r="J31" s="30">
        <f t="shared" si="53"/>
        <v>0.99234522257416424</v>
      </c>
      <c r="K31" s="30">
        <f t="shared" si="53"/>
        <v>0.99258163118830689</v>
      </c>
      <c r="L31" s="30">
        <f t="shared" si="53"/>
        <v>0.99312390920792537</v>
      </c>
      <c r="M31" s="30">
        <f t="shared" si="53"/>
        <v>0.99356418500712795</v>
      </c>
      <c r="N31" s="30">
        <f t="shared" si="53"/>
        <v>0.99334226171552109</v>
      </c>
      <c r="O31" s="30">
        <f t="shared" si="53"/>
        <v>0.9935595932857807</v>
      </c>
      <c r="P31" s="30">
        <f t="shared" si="53"/>
        <v>0.99387713298871183</v>
      </c>
      <c r="Q31" s="30">
        <f t="shared" si="53"/>
        <v>0.99443652150505302</v>
      </c>
      <c r="R31" s="30">
        <f t="shared" si="53"/>
        <v>0.99461499801427611</v>
      </c>
      <c r="S31" s="30">
        <f>O31</f>
        <v>0.9935595932857807</v>
      </c>
      <c r="T31" s="30">
        <f t="shared" ref="T31:V31" si="54">P31</f>
        <v>0.99387713298871183</v>
      </c>
      <c r="U31" s="30">
        <f t="shared" si="54"/>
        <v>0.99443652150505302</v>
      </c>
      <c r="V31" s="30">
        <f t="shared" si="54"/>
        <v>0.99461499801427611</v>
      </c>
      <c r="W31" s="30">
        <f t="shared" ref="W31:W32" si="55">S31</f>
        <v>0.9935595932857807</v>
      </c>
      <c r="X31" s="30">
        <f t="shared" ref="X31:X32" si="56">T31</f>
        <v>0.99387713298871183</v>
      </c>
      <c r="Y31" s="30">
        <f t="shared" ref="Y31:Y32" si="57">U31</f>
        <v>0.99443652150505302</v>
      </c>
      <c r="Z31" s="30">
        <f t="shared" ref="Z31:Z32" si="58">V31</f>
        <v>0.99461499801427611</v>
      </c>
      <c r="AA31" s="30">
        <f t="shared" ref="AA31:AA32" si="59">W31</f>
        <v>0.9935595932857807</v>
      </c>
      <c r="AB31" s="30">
        <f t="shared" ref="AB31:AB32" si="60">X31</f>
        <v>0.99387713298871183</v>
      </c>
      <c r="AC31" s="30">
        <f t="shared" ref="AC31:AC32" si="61">Y31</f>
        <v>0.99443652150505302</v>
      </c>
      <c r="AD31" s="30">
        <f t="shared" ref="AD31:AD32" si="62">Z31</f>
        <v>0.99461499801427611</v>
      </c>
      <c r="AE31" s="30">
        <f t="shared" ref="AE31:AE32" si="63">AA31</f>
        <v>0.9935595932857807</v>
      </c>
      <c r="AF31" s="30">
        <f t="shared" ref="AF31:AF32" si="64">AB31</f>
        <v>0.99387713298871183</v>
      </c>
      <c r="AG31" s="30">
        <f t="shared" ref="AG31:AG32" si="65">AC31</f>
        <v>0.99443652150505302</v>
      </c>
      <c r="AH31" s="30">
        <f t="shared" ref="AH31:AH32" si="66">AD31</f>
        <v>0.99461499801427611</v>
      </c>
      <c r="AI31" s="30">
        <f t="shared" ref="AI31:AI32" si="67">AE31</f>
        <v>0.9935595932857807</v>
      </c>
      <c r="AJ31" s="30">
        <f t="shared" ref="AJ31:AJ32" si="68">AF31</f>
        <v>0.99387713298871183</v>
      </c>
      <c r="AK31" s="30">
        <f t="shared" ref="AK31:AK32" si="69">AG31</f>
        <v>0.99443652150505302</v>
      </c>
      <c r="AL31" s="30">
        <f t="shared" ref="AL31:AL32" si="70">AH31</f>
        <v>0.99461499801427611</v>
      </c>
      <c r="AN31" s="30">
        <f t="shared" ref="AN31:AQ31" si="71">AN36/AN$38</f>
        <v>0.9880891382751511</v>
      </c>
      <c r="AO31" s="30">
        <f t="shared" si="71"/>
        <v>0.99112286169726349</v>
      </c>
      <c r="AP31" s="30">
        <f t="shared" si="71"/>
        <v>0.99315970411832921</v>
      </c>
      <c r="AQ31" s="30">
        <f t="shared" si="71"/>
        <v>0.99412498891845047</v>
      </c>
      <c r="AR31" s="32">
        <f>AQ31</f>
        <v>0.99412498891845047</v>
      </c>
      <c r="AS31" s="32">
        <f t="shared" ref="AS31:AV31" si="72">AR31</f>
        <v>0.99412498891845047</v>
      </c>
      <c r="AT31" s="32">
        <f t="shared" si="72"/>
        <v>0.99412498891845047</v>
      </c>
      <c r="AU31" s="32">
        <f t="shared" si="72"/>
        <v>0.99412498891845047</v>
      </c>
      <c r="AV31" s="32">
        <f t="shared" si="72"/>
        <v>0.99412498891845047</v>
      </c>
    </row>
    <row r="32" spans="2:48" outlineLevel="1" x14ac:dyDescent="0.2">
      <c r="B32" s="4" t="s">
        <v>172</v>
      </c>
      <c r="C32" s="30">
        <f>C37/C$38</f>
        <v>1.4690725349181057E-2</v>
      </c>
      <c r="D32" s="30">
        <f t="shared" si="53"/>
        <v>1.2244404075373916E-2</v>
      </c>
      <c r="E32" s="30">
        <f t="shared" si="53"/>
        <v>1.0196100526810479E-2</v>
      </c>
      <c r="F32" s="30">
        <f t="shared" si="53"/>
        <v>1.0827115528505335E-2</v>
      </c>
      <c r="G32" s="30">
        <f t="shared" si="53"/>
        <v>1.0681803221813585E-2</v>
      </c>
      <c r="H32" s="30">
        <f t="shared" si="53"/>
        <v>9.2787413044273827E-3</v>
      </c>
      <c r="I32" s="30">
        <f t="shared" si="53"/>
        <v>8.0349521997139864E-3</v>
      </c>
      <c r="J32" s="30">
        <f t="shared" si="53"/>
        <v>7.6547774258357449E-3</v>
      </c>
      <c r="K32" s="30">
        <f t="shared" si="53"/>
        <v>7.4183688116930815E-3</v>
      </c>
      <c r="L32" s="30">
        <f t="shared" si="53"/>
        <v>6.8760907920746017E-3</v>
      </c>
      <c r="M32" s="30">
        <f t="shared" si="53"/>
        <v>6.4358149928720187E-3</v>
      </c>
      <c r="N32" s="30">
        <f t="shared" si="53"/>
        <v>6.6577382844789212E-3</v>
      </c>
      <c r="O32" s="30">
        <f t="shared" si="53"/>
        <v>6.4404067142193044E-3</v>
      </c>
      <c r="P32" s="30">
        <f t="shared" si="53"/>
        <v>6.1228670112881533E-3</v>
      </c>
      <c r="Q32" s="30">
        <f t="shared" si="53"/>
        <v>5.5634784949469785E-3</v>
      </c>
      <c r="R32" s="30">
        <f t="shared" si="53"/>
        <v>5.3850019857238753E-3</v>
      </c>
      <c r="S32" s="30">
        <f>O32</f>
        <v>6.4404067142193044E-3</v>
      </c>
      <c r="T32" s="30">
        <f t="shared" ref="T32" si="73">P32</f>
        <v>6.1228670112881533E-3</v>
      </c>
      <c r="U32" s="30">
        <f t="shared" ref="U32" si="74">Q32</f>
        <v>5.5634784949469785E-3</v>
      </c>
      <c r="V32" s="30">
        <f t="shared" ref="V32" si="75">R32</f>
        <v>5.3850019857238753E-3</v>
      </c>
      <c r="W32" s="30">
        <f t="shared" si="55"/>
        <v>6.4404067142193044E-3</v>
      </c>
      <c r="X32" s="30">
        <f t="shared" si="56"/>
        <v>6.1228670112881533E-3</v>
      </c>
      <c r="Y32" s="30">
        <f t="shared" si="57"/>
        <v>5.5634784949469785E-3</v>
      </c>
      <c r="Z32" s="30">
        <f t="shared" si="58"/>
        <v>5.3850019857238753E-3</v>
      </c>
      <c r="AA32" s="30">
        <f t="shared" si="59"/>
        <v>6.4404067142193044E-3</v>
      </c>
      <c r="AB32" s="30">
        <f t="shared" si="60"/>
        <v>6.1228670112881533E-3</v>
      </c>
      <c r="AC32" s="30">
        <f t="shared" si="61"/>
        <v>5.5634784949469785E-3</v>
      </c>
      <c r="AD32" s="30">
        <f t="shared" si="62"/>
        <v>5.3850019857238753E-3</v>
      </c>
      <c r="AE32" s="30">
        <f t="shared" si="63"/>
        <v>6.4404067142193044E-3</v>
      </c>
      <c r="AF32" s="30">
        <f t="shared" si="64"/>
        <v>6.1228670112881533E-3</v>
      </c>
      <c r="AG32" s="30">
        <f t="shared" si="65"/>
        <v>5.5634784949469785E-3</v>
      </c>
      <c r="AH32" s="30">
        <f t="shared" si="66"/>
        <v>5.3850019857238753E-3</v>
      </c>
      <c r="AI32" s="30">
        <f t="shared" si="67"/>
        <v>6.4404067142193044E-3</v>
      </c>
      <c r="AJ32" s="30">
        <f t="shared" si="68"/>
        <v>6.1228670112881533E-3</v>
      </c>
      <c r="AK32" s="30">
        <f t="shared" si="69"/>
        <v>5.5634784949469785E-3</v>
      </c>
      <c r="AL32" s="30">
        <f t="shared" si="70"/>
        <v>5.3850019857238753E-3</v>
      </c>
      <c r="AN32" s="30">
        <f t="shared" ref="AN32:AQ32" si="76">AN37/AN$38</f>
        <v>1.1910861724848919E-2</v>
      </c>
      <c r="AO32" s="30">
        <f t="shared" si="76"/>
        <v>8.8771383027364623E-3</v>
      </c>
      <c r="AP32" s="30">
        <f t="shared" si="76"/>
        <v>6.8402958816708333E-3</v>
      </c>
      <c r="AQ32" s="30">
        <f t="shared" si="76"/>
        <v>5.8750110815495096E-3</v>
      </c>
      <c r="AR32" s="32">
        <f>AQ32</f>
        <v>5.8750110815495096E-3</v>
      </c>
      <c r="AS32" s="32">
        <f t="shared" ref="AS32:AV32" si="77">AR32</f>
        <v>5.8750110815495096E-3</v>
      </c>
      <c r="AT32" s="32">
        <f t="shared" si="77"/>
        <v>5.8750110815495096E-3</v>
      </c>
      <c r="AU32" s="32">
        <f t="shared" si="77"/>
        <v>5.8750110815495096E-3</v>
      </c>
      <c r="AV32" s="32">
        <f t="shared" si="77"/>
        <v>5.8750110815495096E-3</v>
      </c>
    </row>
    <row r="33" spans="2:63" outlineLevel="1" x14ac:dyDescent="0.2"/>
    <row r="34" spans="2:63" ht="15" outlineLevel="1" collapsed="1" x14ac:dyDescent="0.25">
      <c r="B34" s="22" t="s">
        <v>47</v>
      </c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N34" s="22"/>
      <c r="AO34" s="22"/>
      <c r="AP34" s="22"/>
      <c r="AQ34" s="22"/>
      <c r="AR34" s="22"/>
      <c r="AS34" s="22"/>
      <c r="AT34" s="22"/>
      <c r="AU34" s="22"/>
      <c r="AV34" s="22"/>
    </row>
    <row r="35" spans="2:63" outlineLevel="1" x14ac:dyDescent="0.2"/>
    <row r="36" spans="2:63" outlineLevel="1" x14ac:dyDescent="0.2">
      <c r="B36" s="4" t="s">
        <v>25</v>
      </c>
      <c r="C36" s="10">
        <v>1715990</v>
      </c>
      <c r="D36" s="10">
        <v>1869365</v>
      </c>
      <c r="E36" s="10">
        <v>1932409</v>
      </c>
      <c r="F36" s="10">
        <v>1939405</v>
      </c>
      <c r="G36" s="10">
        <v>1998956</v>
      </c>
      <c r="H36" s="10">
        <v>2192802</v>
      </c>
      <c r="I36" s="10">
        <v>2202336</v>
      </c>
      <c r="J36" s="10">
        <v>2163907</v>
      </c>
      <c r="K36" s="10">
        <v>2351009</v>
      </c>
      <c r="L36" s="10">
        <v>2497509</v>
      </c>
      <c r="M36" s="10">
        <v>2456039</v>
      </c>
      <c r="N36" s="10">
        <v>2499567</v>
      </c>
      <c r="O36" s="10">
        <v>2684447</v>
      </c>
      <c r="P36" s="10">
        <v>2954913</v>
      </c>
      <c r="Q36" s="10">
        <v>2778034</v>
      </c>
      <c r="R36" s="10">
        <v>2829988</v>
      </c>
      <c r="S36" s="10" t="e">
        <f>S$38*S31</f>
        <v>#REF!</v>
      </c>
      <c r="T36" s="10" t="e">
        <f t="shared" ref="T36:V36" si="78">T$38*T31</f>
        <v>#REF!</v>
      </c>
      <c r="U36" s="10" t="e">
        <f t="shared" si="78"/>
        <v>#REF!</v>
      </c>
      <c r="V36" s="10" t="e">
        <f t="shared" si="78"/>
        <v>#REF!</v>
      </c>
      <c r="W36" s="10" t="e">
        <f t="shared" ref="W36:AL36" si="79">W$38*W31</f>
        <v>#REF!</v>
      </c>
      <c r="X36" s="10" t="e">
        <f t="shared" si="79"/>
        <v>#REF!</v>
      </c>
      <c r="Y36" s="10" t="e">
        <f t="shared" si="79"/>
        <v>#REF!</v>
      </c>
      <c r="Z36" s="10" t="e">
        <f t="shared" si="79"/>
        <v>#REF!</v>
      </c>
      <c r="AA36" s="10" t="e">
        <f t="shared" si="79"/>
        <v>#REF!</v>
      </c>
      <c r="AB36" s="10" t="e">
        <f t="shared" si="79"/>
        <v>#REF!</v>
      </c>
      <c r="AC36" s="10" t="e">
        <f t="shared" si="79"/>
        <v>#REF!</v>
      </c>
      <c r="AD36" s="10" t="e">
        <f t="shared" si="79"/>
        <v>#REF!</v>
      </c>
      <c r="AE36" s="10" t="e">
        <f t="shared" si="79"/>
        <v>#REF!</v>
      </c>
      <c r="AF36" s="10" t="e">
        <f t="shared" si="79"/>
        <v>#REF!</v>
      </c>
      <c r="AG36" s="10" t="e">
        <f t="shared" si="79"/>
        <v>#REF!</v>
      </c>
      <c r="AH36" s="10" t="e">
        <f t="shared" si="79"/>
        <v>#REF!</v>
      </c>
      <c r="AI36" s="10" t="e">
        <f t="shared" si="79"/>
        <v>#REF!</v>
      </c>
      <c r="AJ36" s="10" t="e">
        <f t="shared" si="79"/>
        <v>#REF!</v>
      </c>
      <c r="AK36" s="10" t="e">
        <f t="shared" si="79"/>
        <v>#REF!</v>
      </c>
      <c r="AL36" s="10" t="e">
        <f t="shared" si="79"/>
        <v>#REF!</v>
      </c>
      <c r="AN36" s="46">
        <f>SUM(C36:F36)</f>
        <v>7457169</v>
      </c>
      <c r="AO36" s="46">
        <f>SUM(G36:J36)</f>
        <v>8558001</v>
      </c>
      <c r="AP36" s="46">
        <f>SUM(K36:N36)</f>
        <v>9804124</v>
      </c>
      <c r="AQ36" s="46">
        <f>SUM(O36:R36)</f>
        <v>11247382</v>
      </c>
      <c r="AR36" s="46">
        <f>AR$38*AR31</f>
        <v>12316354.194882447</v>
      </c>
      <c r="AS36" s="46">
        <f t="shared" ref="AS36:AV37" si="80">AS$38*AS31</f>
        <v>13509291.147209784</v>
      </c>
      <c r="AT36" s="46">
        <f t="shared" si="80"/>
        <v>14763382.333683584</v>
      </c>
      <c r="AU36" s="46">
        <f t="shared" si="80"/>
        <v>16065901.570907198</v>
      </c>
      <c r="AV36" s="46">
        <f t="shared" si="80"/>
        <v>17583869.43501842</v>
      </c>
      <c r="AX36" s="28">
        <f>RATE(5,,-AQ36,AV36)</f>
        <v>9.3484423484980775E-2</v>
      </c>
      <c r="BI36" s="18"/>
      <c r="BJ36" s="18"/>
      <c r="BK36" s="18"/>
    </row>
    <row r="37" spans="2:63" outlineLevel="1" x14ac:dyDescent="0.2">
      <c r="B37" s="4" t="s">
        <v>26</v>
      </c>
      <c r="C37" s="9">
        <v>25585</v>
      </c>
      <c r="D37" s="9">
        <v>23173</v>
      </c>
      <c r="E37" s="9">
        <v>19906</v>
      </c>
      <c r="F37" s="9">
        <v>21228</v>
      </c>
      <c r="G37" s="9">
        <v>21583</v>
      </c>
      <c r="H37" s="9">
        <v>20537</v>
      </c>
      <c r="I37" s="9">
        <v>17839</v>
      </c>
      <c r="J37" s="9">
        <v>16692</v>
      </c>
      <c r="K37" s="9">
        <v>17571</v>
      </c>
      <c r="L37" s="9">
        <v>17292</v>
      </c>
      <c r="M37" s="9">
        <v>15909</v>
      </c>
      <c r="N37" s="9">
        <v>16753</v>
      </c>
      <c r="O37" s="9">
        <v>17401</v>
      </c>
      <c r="P37" s="9">
        <v>18204</v>
      </c>
      <c r="Q37" s="9">
        <v>15542</v>
      </c>
      <c r="R37" s="9">
        <v>15322</v>
      </c>
      <c r="S37" s="9" t="e">
        <f t="shared" ref="S37:V37" si="81">S$38*S32</f>
        <v>#REF!</v>
      </c>
      <c r="T37" s="9" t="e">
        <f t="shared" si="81"/>
        <v>#REF!</v>
      </c>
      <c r="U37" s="9" t="e">
        <f t="shared" si="81"/>
        <v>#REF!</v>
      </c>
      <c r="V37" s="9" t="e">
        <f t="shared" si="81"/>
        <v>#REF!</v>
      </c>
      <c r="W37" s="9" t="e">
        <f t="shared" ref="W37:AL37" si="82">W$38*W32</f>
        <v>#REF!</v>
      </c>
      <c r="X37" s="9" t="e">
        <f t="shared" si="82"/>
        <v>#REF!</v>
      </c>
      <c r="Y37" s="9" t="e">
        <f t="shared" si="82"/>
        <v>#REF!</v>
      </c>
      <c r="Z37" s="9" t="e">
        <f t="shared" si="82"/>
        <v>#REF!</v>
      </c>
      <c r="AA37" s="9" t="e">
        <f t="shared" si="82"/>
        <v>#REF!</v>
      </c>
      <c r="AB37" s="9" t="e">
        <f t="shared" si="82"/>
        <v>#REF!</v>
      </c>
      <c r="AC37" s="9" t="e">
        <f t="shared" si="82"/>
        <v>#REF!</v>
      </c>
      <c r="AD37" s="9" t="e">
        <f t="shared" si="82"/>
        <v>#REF!</v>
      </c>
      <c r="AE37" s="9" t="e">
        <f t="shared" si="82"/>
        <v>#REF!</v>
      </c>
      <c r="AF37" s="9" t="e">
        <f t="shared" si="82"/>
        <v>#REF!</v>
      </c>
      <c r="AG37" s="9" t="e">
        <f t="shared" si="82"/>
        <v>#REF!</v>
      </c>
      <c r="AH37" s="9" t="e">
        <f t="shared" si="82"/>
        <v>#REF!</v>
      </c>
      <c r="AI37" s="9" t="e">
        <f t="shared" si="82"/>
        <v>#REF!</v>
      </c>
      <c r="AJ37" s="9" t="e">
        <f t="shared" si="82"/>
        <v>#REF!</v>
      </c>
      <c r="AK37" s="9" t="e">
        <f t="shared" si="82"/>
        <v>#REF!</v>
      </c>
      <c r="AL37" s="9" t="e">
        <f t="shared" si="82"/>
        <v>#REF!</v>
      </c>
      <c r="AN37" s="46">
        <f>SUM(C37:F37)</f>
        <v>89892</v>
      </c>
      <c r="AO37" s="46">
        <f>SUM(G37:J37)</f>
        <v>76651</v>
      </c>
      <c r="AP37" s="46">
        <f>SUM(K37:N37)</f>
        <v>67525</v>
      </c>
      <c r="AQ37" s="46">
        <f>SUM(O37:R37)</f>
        <v>66469</v>
      </c>
      <c r="AR37" s="46">
        <f>AR$38*AR32</f>
        <v>72786.337921095008</v>
      </c>
      <c r="AS37" s="46">
        <f t="shared" si="80"/>
        <v>79836.27418930798</v>
      </c>
      <c r="AT37" s="46">
        <f t="shared" si="80"/>
        <v>87247.615519559491</v>
      </c>
      <c r="AU37" s="46">
        <f t="shared" si="80"/>
        <v>94945.153593665673</v>
      </c>
      <c r="AV37" s="46">
        <f t="shared" si="80"/>
        <v>103915.93505726394</v>
      </c>
      <c r="AX37" s="28">
        <f t="shared" ref="AX37:AX38" si="83">RATE(5,,-AQ37,AV37)</f>
        <v>9.34844234849809E-2</v>
      </c>
      <c r="BI37" s="29"/>
      <c r="BJ37" s="29"/>
      <c r="BK37" s="29"/>
    </row>
    <row r="38" spans="2:63" ht="15" outlineLevel="1" x14ac:dyDescent="0.25">
      <c r="B38" s="40" t="s">
        <v>27</v>
      </c>
      <c r="C38" s="41">
        <v>1741575</v>
      </c>
      <c r="D38" s="41">
        <v>1892538</v>
      </c>
      <c r="E38" s="41">
        <v>1952315</v>
      </c>
      <c r="F38" s="41">
        <v>1960633</v>
      </c>
      <c r="G38" s="41">
        <v>2020539</v>
      </c>
      <c r="H38" s="41">
        <v>2213339</v>
      </c>
      <c r="I38" s="41">
        <v>2220175</v>
      </c>
      <c r="J38" s="41">
        <v>2180599</v>
      </c>
      <c r="K38" s="41">
        <v>2368580</v>
      </c>
      <c r="L38" s="41">
        <v>2514801</v>
      </c>
      <c r="M38" s="41">
        <v>2471948</v>
      </c>
      <c r="N38" s="41">
        <v>2516320</v>
      </c>
      <c r="O38" s="41">
        <v>2701848</v>
      </c>
      <c r="P38" s="41">
        <v>2973117</v>
      </c>
      <c r="Q38" s="41">
        <v>2793576</v>
      </c>
      <c r="R38" s="41">
        <v>2845310</v>
      </c>
      <c r="S38" s="56" t="e">
        <f>S18*S13</f>
        <v>#REF!</v>
      </c>
      <c r="T38" s="56" t="e">
        <f>((AVERAGE(M38:P38)/AVERAGE(M13:P13))*(1+#REF!)*AVERAGE(Q13:T13)*4)-SUM(Q38:S38)</f>
        <v>#REF!</v>
      </c>
      <c r="U38" s="56" t="e">
        <f>((AVERAGE(N38:Q38)/AVERAGE(N13:Q13))*(1+#REF!)*AVERAGE(R13:U13)*4)-SUM(R38:T38)</f>
        <v>#REF!</v>
      </c>
      <c r="V38" s="56" t="e">
        <f>((AVERAGE(O38:R38)/AVERAGE(O13:R13))*(1+#REF!)*AVERAGE(S13:V13)*4)-SUM(S38:U38)</f>
        <v>#REF!</v>
      </c>
      <c r="W38" s="56" t="e">
        <f>((AVERAGE(P38:S38)/AVERAGE(P13:S13))*(1+#REF!)*AVERAGE(T13:W13)*4)-SUM(T38:V38)</f>
        <v>#REF!</v>
      </c>
      <c r="X38" s="56" t="e">
        <f>((AVERAGE(Q38:T38)/AVERAGE(Q13:T13))*(1+#REF!)*AVERAGE(U13:X13)*4)-SUM(U38:W38)</f>
        <v>#REF!</v>
      </c>
      <c r="Y38" s="56" t="e">
        <f>((AVERAGE(R38:U38)/AVERAGE(R13:U13))*(1+#REF!)*AVERAGE(V13:Y13)*4)-SUM(V38:X38)</f>
        <v>#REF!</v>
      </c>
      <c r="Z38" s="56" t="e">
        <f>((AVERAGE(S38:V38)/AVERAGE(S13:V13))*(1+#REF!)*AVERAGE(W13:Z13)*4)-SUM(W38:Y38)</f>
        <v>#REF!</v>
      </c>
      <c r="AA38" s="56" t="e">
        <f>((AVERAGE(T38:W38)/AVERAGE(T13:W13))*(1+#REF!)*AVERAGE(X13:AA13)*4)-SUM(X38:Z38)</f>
        <v>#REF!</v>
      </c>
      <c r="AB38" s="56" t="e">
        <f>((AVERAGE(U38:X38)/AVERAGE(U13:X13))*(1+#REF!)*AVERAGE(Y13:AB13)*4)-SUM(Y38:AA38)</f>
        <v>#REF!</v>
      </c>
      <c r="AC38" s="56" t="e">
        <f>((AVERAGE(V38:Y38)/AVERAGE(V13:Y13))*(1+#REF!)*AVERAGE(Z13:AC13)*4)-SUM(Z38:AB38)</f>
        <v>#REF!</v>
      </c>
      <c r="AD38" s="56" t="e">
        <f>((AVERAGE(W38:Z38)/AVERAGE(W13:Z13))*(1+#REF!)*AVERAGE(AA13:AD13)*4)-SUM(AA38:AC38)</f>
        <v>#REF!</v>
      </c>
      <c r="AE38" s="56" t="e">
        <f>((AVERAGE(X38:AA38)/AVERAGE(X13:AA13))*(1+#REF!)*AVERAGE(AB13:AE13)*4)-SUM(AB38:AD38)</f>
        <v>#REF!</v>
      </c>
      <c r="AF38" s="56" t="e">
        <f>((AVERAGE(Y38:AB38)/AVERAGE(Y13:AB13))*(1+#REF!)*AVERAGE(AC13:AF13)*4)-SUM(AC38:AE38)</f>
        <v>#REF!</v>
      </c>
      <c r="AG38" s="56" t="e">
        <f>((AVERAGE(Z38:AC38)/AVERAGE(Z13:AC13))*(1+#REF!)*AVERAGE(AD13:AG13)*4)-SUM(AD38:AF38)</f>
        <v>#REF!</v>
      </c>
      <c r="AH38" s="56" t="e">
        <f>((AVERAGE(AA38:AD38)/AVERAGE(AA13:AD13))*(1+#REF!)*AVERAGE(AE13:AH13)*4)-SUM(AE38:AG38)</f>
        <v>#REF!</v>
      </c>
      <c r="AI38" s="56" t="e">
        <f>((AVERAGE(AB38:AE38)/AVERAGE(AB13:AE13))*(1+#REF!)*AVERAGE(AF13:AI13)*4)-SUM(AF38:AH38)</f>
        <v>#REF!</v>
      </c>
      <c r="AJ38" s="56" t="e">
        <f>((AVERAGE(AC38:AF38)/AVERAGE(AC13:AF13))*(1+#REF!)*AVERAGE(AG13:AJ13)*4)-SUM(AG38:AI38)</f>
        <v>#REF!</v>
      </c>
      <c r="AK38" s="56" t="e">
        <f>((AVERAGE(AD38:AG38)/AVERAGE(AD13:AG13))*(1+#REF!)*AVERAGE(AH13:AK13)*4)-SUM(AH38:AJ38)</f>
        <v>#REF!</v>
      </c>
      <c r="AL38" s="56" t="e">
        <f>((AVERAGE(AE38:AH38)/AVERAGE(AE13:AH13))*(1+#REF!)*AVERAGE(AI13:AL13)*4)-SUM(AI38:AK38)</f>
        <v>#REF!</v>
      </c>
      <c r="AN38" s="56">
        <f>SUM(C38:F38)</f>
        <v>7547061</v>
      </c>
      <c r="AO38" s="56">
        <f>SUM(G38:J38)</f>
        <v>8634652</v>
      </c>
      <c r="AP38" s="56">
        <f>SUM(K38:N38)</f>
        <v>9871649</v>
      </c>
      <c r="AQ38" s="56">
        <f>SUM(O38:R38)</f>
        <v>11313851</v>
      </c>
      <c r="AR38" s="56">
        <f>AR20</f>
        <v>12389140.532803543</v>
      </c>
      <c r="AS38" s="56">
        <f>AS20</f>
        <v>13589127.421399092</v>
      </c>
      <c r="AT38" s="56">
        <f>AT20</f>
        <v>14850629.949203143</v>
      </c>
      <c r="AU38" s="56">
        <f>AU20</f>
        <v>16160846.724500865</v>
      </c>
      <c r="AV38" s="56">
        <f>AV20</f>
        <v>17687785.370075684</v>
      </c>
      <c r="AX38" s="80">
        <f t="shared" si="83"/>
        <v>9.3484423484980872E-2</v>
      </c>
    </row>
    <row r="39" spans="2:63" ht="15" outlineLevel="1" x14ac:dyDescent="0.25">
      <c r="B39" s="25" t="s">
        <v>155</v>
      </c>
      <c r="C39" s="57"/>
      <c r="D39" s="57"/>
      <c r="E39" s="57"/>
      <c r="F39" s="57"/>
      <c r="G39" s="58">
        <f>G38/C38-1</f>
        <v>0.1601791481848327</v>
      </c>
      <c r="H39" s="58">
        <f t="shared" ref="H39:R39" si="84">H38/D38-1</f>
        <v>0.16950835333293179</v>
      </c>
      <c r="I39" s="58">
        <f t="shared" si="84"/>
        <v>0.13720122008999569</v>
      </c>
      <c r="J39" s="58">
        <f t="shared" si="84"/>
        <v>0.11219131780399483</v>
      </c>
      <c r="K39" s="58">
        <f t="shared" si="84"/>
        <v>0.17225156257810426</v>
      </c>
      <c r="L39" s="58">
        <f t="shared" si="84"/>
        <v>0.13620236213250658</v>
      </c>
      <c r="M39" s="58">
        <f t="shared" si="84"/>
        <v>0.11340232188904031</v>
      </c>
      <c r="N39" s="58">
        <f t="shared" si="84"/>
        <v>0.1539581555343279</v>
      </c>
      <c r="O39" s="58">
        <f t="shared" si="84"/>
        <v>0.14070371277305393</v>
      </c>
      <c r="P39" s="58">
        <f t="shared" si="84"/>
        <v>0.18224742236065605</v>
      </c>
      <c r="Q39" s="58">
        <f t="shared" si="84"/>
        <v>0.13011115120544603</v>
      </c>
      <c r="R39" s="58">
        <f t="shared" si="84"/>
        <v>0.13074251287594585</v>
      </c>
      <c r="S39" s="58" t="e">
        <f t="shared" ref="S39" si="85">S38/O38-1</f>
        <v>#REF!</v>
      </c>
      <c r="T39" s="58" t="e">
        <f t="shared" ref="T39" si="86">T38/P38-1</f>
        <v>#REF!</v>
      </c>
      <c r="U39" s="58" t="e">
        <f t="shared" ref="U39" si="87">U38/Q38-1</f>
        <v>#REF!</v>
      </c>
      <c r="V39" s="58" t="e">
        <f t="shared" ref="V39" si="88">V38/R38-1</f>
        <v>#REF!</v>
      </c>
      <c r="W39" s="58" t="e">
        <f t="shared" ref="W39" si="89">W38/S38-1</f>
        <v>#REF!</v>
      </c>
      <c r="X39" s="58" t="e">
        <f t="shared" ref="X39" si="90">X38/T38-1</f>
        <v>#REF!</v>
      </c>
      <c r="Y39" s="58" t="e">
        <f t="shared" ref="Y39" si="91">Y38/U38-1</f>
        <v>#REF!</v>
      </c>
      <c r="Z39" s="58" t="e">
        <f t="shared" ref="Z39" si="92">Z38/V38-1</f>
        <v>#REF!</v>
      </c>
      <c r="AA39" s="58" t="e">
        <f t="shared" ref="AA39" si="93">AA38/W38-1</f>
        <v>#REF!</v>
      </c>
      <c r="AB39" s="58" t="e">
        <f t="shared" ref="AB39" si="94">AB38/X38-1</f>
        <v>#REF!</v>
      </c>
      <c r="AC39" s="58" t="e">
        <f t="shared" ref="AC39" si="95">AC38/Y38-1</f>
        <v>#REF!</v>
      </c>
      <c r="AD39" s="58" t="e">
        <f t="shared" ref="AD39" si="96">AD38/Z38-1</f>
        <v>#REF!</v>
      </c>
      <c r="AE39" s="58" t="e">
        <f t="shared" ref="AE39" si="97">AE38/AA38-1</f>
        <v>#REF!</v>
      </c>
      <c r="AF39" s="58" t="e">
        <f t="shared" ref="AF39" si="98">AF38/AB38-1</f>
        <v>#REF!</v>
      </c>
      <c r="AG39" s="58" t="e">
        <f t="shared" ref="AG39" si="99">AG38/AC38-1</f>
        <v>#REF!</v>
      </c>
      <c r="AH39" s="58" t="e">
        <f t="shared" ref="AH39" si="100">AH38/AD38-1</f>
        <v>#REF!</v>
      </c>
      <c r="AI39" s="58" t="e">
        <f t="shared" ref="AI39" si="101">AI38/AE38-1</f>
        <v>#REF!</v>
      </c>
      <c r="AJ39" s="58" t="e">
        <f t="shared" ref="AJ39" si="102">AJ38/AF38-1</f>
        <v>#REF!</v>
      </c>
      <c r="AK39" s="58" t="e">
        <f t="shared" ref="AK39" si="103">AK38/AG38-1</f>
        <v>#REF!</v>
      </c>
      <c r="AL39" s="58" t="e">
        <f t="shared" ref="AL39" si="104">AL38/AH38-1</f>
        <v>#REF!</v>
      </c>
      <c r="AO39" s="29">
        <f>AO38/AN38-1</f>
        <v>0.14410788517543449</v>
      </c>
      <c r="AP39" s="29">
        <f t="shared" ref="AP39:AV39" si="105">AP38/AO38-1</f>
        <v>0.14325962412845361</v>
      </c>
      <c r="AQ39" s="29">
        <f t="shared" si="105"/>
        <v>0.14609534840633009</v>
      </c>
      <c r="AR39" s="29">
        <f t="shared" si="105"/>
        <v>9.504186795491143E-2</v>
      </c>
      <c r="AS39" s="29">
        <f t="shared" si="105"/>
        <v>9.6857960842260615E-2</v>
      </c>
      <c r="AT39" s="29">
        <f t="shared" si="105"/>
        <v>9.2831753554502461E-2</v>
      </c>
      <c r="AU39" s="29">
        <f t="shared" si="105"/>
        <v>8.822634324465306E-2</v>
      </c>
      <c r="AV39" s="29">
        <f t="shared" si="105"/>
        <v>9.4483826968043916E-2</v>
      </c>
      <c r="BH39" s="33"/>
      <c r="BI39" s="33"/>
    </row>
    <row r="40" spans="2:63" outlineLevel="1" x14ac:dyDescent="0.2">
      <c r="B40" s="4" t="s">
        <v>28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BH40" s="33"/>
      <c r="BJ40" s="33"/>
      <c r="BK40" s="33"/>
    </row>
    <row r="41" spans="2:63" outlineLevel="1" x14ac:dyDescent="0.2">
      <c r="B41" s="4" t="s">
        <v>29</v>
      </c>
      <c r="C41" s="9">
        <v>522671</v>
      </c>
      <c r="D41" s="9">
        <v>574478</v>
      </c>
      <c r="E41" s="9">
        <v>591332</v>
      </c>
      <c r="F41" s="9">
        <v>620150</v>
      </c>
      <c r="G41" s="9">
        <v>626926</v>
      </c>
      <c r="H41" s="9">
        <v>673928</v>
      </c>
      <c r="I41" s="9">
        <v>662540</v>
      </c>
      <c r="J41" s="9">
        <v>638851</v>
      </c>
      <c r="K41" s="9">
        <v>692559</v>
      </c>
      <c r="L41" s="9">
        <v>738664</v>
      </c>
      <c r="M41" s="9">
        <v>734186</v>
      </c>
      <c r="N41" s="9">
        <v>747155</v>
      </c>
      <c r="O41" s="9">
        <v>779076</v>
      </c>
      <c r="P41" s="9">
        <v>873673</v>
      </c>
      <c r="Q41" s="9">
        <v>855515</v>
      </c>
      <c r="R41" s="9">
        <v>866252</v>
      </c>
      <c r="AN41" s="46">
        <f t="shared" ref="AN41:AN55" si="106">SUM(C41:F41)</f>
        <v>2308631</v>
      </c>
      <c r="AO41" s="46">
        <f t="shared" ref="AO41:AO55" si="107">SUM(G41:J41)</f>
        <v>2602245</v>
      </c>
      <c r="AP41" s="46">
        <f t="shared" ref="AP41:AP55" si="108">SUM(K41:N41)</f>
        <v>2912564</v>
      </c>
      <c r="AQ41" s="46">
        <f t="shared" ref="AQ41:AQ55" si="109">SUM(O41:R41)</f>
        <v>3374516</v>
      </c>
      <c r="AR41" s="46">
        <f>'Cost Forecast'!D29</f>
        <v>3856891.1710901861</v>
      </c>
      <c r="AS41" s="46">
        <f>'Cost Forecast'!E29</f>
        <v>4347566.6229316937</v>
      </c>
      <c r="AT41" s="46">
        <f>'Cost Forecast'!F29</f>
        <v>4722003.0215962697</v>
      </c>
      <c r="AU41" s="46">
        <f>'Cost Forecast'!G29</f>
        <v>5053971.5415116772</v>
      </c>
      <c r="AV41" s="46">
        <f>'Cost Forecast'!H29</f>
        <v>5449438.6583072655</v>
      </c>
      <c r="AX41" s="28">
        <f>RATE(5,,-AQ41,AV41)</f>
        <v>0.10059631740821258</v>
      </c>
    </row>
    <row r="42" spans="2:63" outlineLevel="1" x14ac:dyDescent="0.2">
      <c r="B42" s="75" t="s">
        <v>225</v>
      </c>
      <c r="C42" s="77">
        <f>C41/C$38</f>
        <v>0.3001139772906708</v>
      </c>
      <c r="D42" s="77">
        <f t="shared" ref="D42:R42" si="110">D41/D$38</f>
        <v>0.30354899082607589</v>
      </c>
      <c r="E42" s="77">
        <f t="shared" si="110"/>
        <v>0.30288759754445366</v>
      </c>
      <c r="F42" s="77">
        <f t="shared" si="110"/>
        <v>0.31630090894114299</v>
      </c>
      <c r="G42" s="77">
        <f t="shared" si="110"/>
        <v>0.31027661430935011</v>
      </c>
      <c r="H42" s="77">
        <f t="shared" si="110"/>
        <v>0.30448476261431257</v>
      </c>
      <c r="I42" s="77">
        <f t="shared" si="110"/>
        <v>0.29841791750650287</v>
      </c>
      <c r="J42" s="77">
        <f t="shared" si="110"/>
        <v>0.29297041776135824</v>
      </c>
      <c r="K42" s="77">
        <f t="shared" si="110"/>
        <v>0.29239417710189225</v>
      </c>
      <c r="L42" s="77">
        <f t="shared" si="110"/>
        <v>0.29372662091354346</v>
      </c>
      <c r="M42" s="77">
        <f t="shared" si="110"/>
        <v>0.29700705678274786</v>
      </c>
      <c r="N42" s="77">
        <f t="shared" si="110"/>
        <v>0.29692368220258153</v>
      </c>
      <c r="O42" s="77">
        <f t="shared" si="110"/>
        <v>0.28834930758503069</v>
      </c>
      <c r="P42" s="77">
        <f t="shared" si="110"/>
        <v>0.29385759120814958</v>
      </c>
      <c r="Q42" s="77">
        <f t="shared" si="110"/>
        <v>0.30624368193312085</v>
      </c>
      <c r="R42" s="77">
        <f t="shared" si="110"/>
        <v>0.30444907584762293</v>
      </c>
      <c r="AN42" s="77">
        <f t="shared" ref="AN42" si="111">AN41/AN$38</f>
        <v>0.30589801778467141</v>
      </c>
      <c r="AO42" s="77">
        <f t="shared" ref="AO42" si="112">AO41/AO$38</f>
        <v>0.30137230776642765</v>
      </c>
      <c r="AP42" s="77">
        <f t="shared" ref="AP42" si="113">AP41/AP$38</f>
        <v>0.29504331039322812</v>
      </c>
      <c r="AQ42" s="77">
        <f t="shared" ref="AQ42" si="114">AQ41/AQ$38</f>
        <v>0.29826413658797524</v>
      </c>
      <c r="AR42" s="77">
        <f>AR41/AR$38</f>
        <v>0.31131224646923983</v>
      </c>
      <c r="AS42" s="77">
        <f t="shared" ref="AS42" si="115">AS41/AS$38</f>
        <v>0.31992978563770669</v>
      </c>
      <c r="AT42" s="77">
        <f t="shared" ref="AT42" si="116">AT41/AT$38</f>
        <v>0.3179665130535182</v>
      </c>
      <c r="AU42" s="77">
        <f t="shared" ref="AU42" si="117">AU41/AU$38</f>
        <v>0.31272937783943816</v>
      </c>
      <c r="AV42" s="77">
        <f t="shared" ref="AV42" si="118">AV41/AV$38</f>
        <v>0.30809050111647457</v>
      </c>
    </row>
    <row r="43" spans="2:63" outlineLevel="1" x14ac:dyDescent="0.2">
      <c r="B43" s="4" t="s">
        <v>30</v>
      </c>
      <c r="C43" s="9">
        <v>433669</v>
      </c>
      <c r="D43" s="9">
        <v>464506</v>
      </c>
      <c r="E43" s="9">
        <v>502757</v>
      </c>
      <c r="F43" s="9">
        <v>516829</v>
      </c>
      <c r="G43" s="9">
        <v>531940</v>
      </c>
      <c r="H43" s="9">
        <v>549926</v>
      </c>
      <c r="I43" s="9">
        <v>557178</v>
      </c>
      <c r="J43" s="9">
        <v>558914</v>
      </c>
      <c r="K43" s="9">
        <v>583794</v>
      </c>
      <c r="L43" s="9">
        <v>611678</v>
      </c>
      <c r="M43" s="9">
        <v>616282</v>
      </c>
      <c r="N43" s="9">
        <v>629228</v>
      </c>
      <c r="O43" s="9">
        <v>659450</v>
      </c>
      <c r="P43" s="9">
        <v>716627</v>
      </c>
      <c r="Q43" s="9">
        <v>696847</v>
      </c>
      <c r="R43" s="9">
        <v>716865</v>
      </c>
      <c r="AN43" s="46">
        <f t="shared" si="106"/>
        <v>1917761</v>
      </c>
      <c r="AO43" s="46">
        <f t="shared" si="107"/>
        <v>2197958</v>
      </c>
      <c r="AP43" s="46">
        <f t="shared" si="108"/>
        <v>2440982</v>
      </c>
      <c r="AQ43" s="46">
        <f t="shared" si="109"/>
        <v>2789789</v>
      </c>
      <c r="AR43" s="46">
        <f>AR44*AR$38</f>
        <v>3054935.7577600642</v>
      </c>
      <c r="AS43" s="46">
        <f t="shared" ref="AS43:AV43" si="119">AS44*AS$38</f>
        <v>3350830.6057608104</v>
      </c>
      <c r="AT43" s="46">
        <f t="shared" si="119"/>
        <v>3661894.0867576818</v>
      </c>
      <c r="AU43" s="46">
        <f t="shared" si="119"/>
        <v>3984969.6113815308</v>
      </c>
      <c r="AV43" s="46">
        <f t="shared" si="119"/>
        <v>4361484.7906162161</v>
      </c>
      <c r="AX43" s="28">
        <f>RATE(5,,-AQ43,AV43)</f>
        <v>9.3484423484980872E-2</v>
      </c>
      <c r="AY43" s="28"/>
    </row>
    <row r="44" spans="2:63" outlineLevel="1" x14ac:dyDescent="0.2">
      <c r="B44" s="75" t="s">
        <v>225</v>
      </c>
      <c r="C44" s="77">
        <f>C43/C$38</f>
        <v>0.24900966079554426</v>
      </c>
      <c r="D44" s="77">
        <f t="shared" ref="D44" si="120">D43/D$38</f>
        <v>0.24544077846785639</v>
      </c>
      <c r="E44" s="77">
        <f t="shared" ref="E44" si="121">E43/E$38</f>
        <v>0.25751838202339272</v>
      </c>
      <c r="F44" s="77">
        <f t="shared" ref="F44" si="122">F43/F$38</f>
        <v>0.26360313225371601</v>
      </c>
      <c r="G44" s="77">
        <f t="shared" ref="G44" si="123">G43/G$38</f>
        <v>0.26326638585050821</v>
      </c>
      <c r="H44" s="77">
        <f t="shared" ref="H44" si="124">H43/H$38</f>
        <v>0.24845990605144536</v>
      </c>
      <c r="I44" s="77">
        <f t="shared" ref="I44" si="125">I43/I$38</f>
        <v>0.25096129809587081</v>
      </c>
      <c r="J44" s="77">
        <f t="shared" ref="J44" si="126">J43/J$38</f>
        <v>0.25631214175554518</v>
      </c>
      <c r="K44" s="77">
        <f t="shared" ref="K44" si="127">K43/K$38</f>
        <v>0.24647425883862906</v>
      </c>
      <c r="L44" s="77">
        <f t="shared" ref="L44" si="128">L43/L$38</f>
        <v>0.24323117415652371</v>
      </c>
      <c r="M44" s="77">
        <f t="shared" ref="M44" si="129">M43/M$38</f>
        <v>0.24931026057182432</v>
      </c>
      <c r="N44" s="77">
        <f t="shared" ref="N44" si="130">N43/N$38</f>
        <v>0.25005881604883323</v>
      </c>
      <c r="O44" s="77">
        <f t="shared" ref="O44" si="131">O43/O$38</f>
        <v>0.24407368586241712</v>
      </c>
      <c r="P44" s="77">
        <f t="shared" ref="P44" si="132">P43/P$38</f>
        <v>0.24103558655781121</v>
      </c>
      <c r="Q44" s="77">
        <f t="shared" ref="Q44" si="133">Q43/Q$38</f>
        <v>0.24944622949223505</v>
      </c>
      <c r="R44" s="77">
        <f t="shared" ref="R44" si="134">R43/R$38</f>
        <v>0.25194618512569805</v>
      </c>
      <c r="AN44" s="77">
        <f t="shared" ref="AN44" si="135">AN43/AN$38</f>
        <v>0.25410699608761611</v>
      </c>
      <c r="AO44" s="77">
        <f t="shared" ref="AO44" si="136">AO43/AO$38</f>
        <v>0.25455084929884841</v>
      </c>
      <c r="AP44" s="77">
        <f t="shared" ref="AP44" si="137">AP43/AP$38</f>
        <v>0.247271960338136</v>
      </c>
      <c r="AQ44" s="77">
        <f t="shared" ref="AQ44" si="138">AQ43/AQ$38</f>
        <v>0.24658173419466103</v>
      </c>
      <c r="AR44" s="87">
        <f>AQ44</f>
        <v>0.24658173419466103</v>
      </c>
      <c r="AS44" s="87">
        <f t="shared" ref="AS44:AV44" si="139">AR44</f>
        <v>0.24658173419466103</v>
      </c>
      <c r="AT44" s="87">
        <f t="shared" si="139"/>
        <v>0.24658173419466103</v>
      </c>
      <c r="AU44" s="87">
        <f t="shared" si="139"/>
        <v>0.24658173419466103</v>
      </c>
      <c r="AV44" s="87">
        <f t="shared" si="139"/>
        <v>0.24658173419466103</v>
      </c>
    </row>
    <row r="45" spans="2:63" outlineLevel="1" x14ac:dyDescent="0.2">
      <c r="B45" s="4" t="s">
        <v>31</v>
      </c>
      <c r="C45" s="9">
        <v>101769</v>
      </c>
      <c r="D45" s="9">
        <v>103430</v>
      </c>
      <c r="E45" s="9">
        <v>104223</v>
      </c>
      <c r="F45" s="9">
        <v>107184</v>
      </c>
      <c r="G45" s="9">
        <v>112032</v>
      </c>
      <c r="H45" s="9">
        <v>113919</v>
      </c>
      <c r="I45" s="9">
        <v>115826</v>
      </c>
      <c r="J45" s="9">
        <v>118648</v>
      </c>
      <c r="K45" s="9">
        <v>121931</v>
      </c>
      <c r="L45" s="9">
        <v>123897</v>
      </c>
      <c r="M45" s="9">
        <v>126269</v>
      </c>
      <c r="N45" s="9">
        <v>131167</v>
      </c>
      <c r="O45" s="9">
        <v>135699</v>
      </c>
      <c r="P45" s="9">
        <v>138663</v>
      </c>
      <c r="Q45" s="9">
        <v>142570</v>
      </c>
      <c r="R45" s="9">
        <v>146442</v>
      </c>
      <c r="AN45" s="46">
        <f t="shared" si="106"/>
        <v>416606</v>
      </c>
      <c r="AO45" s="46">
        <f t="shared" si="107"/>
        <v>460425</v>
      </c>
      <c r="AP45" s="46">
        <f t="shared" si="108"/>
        <v>503264</v>
      </c>
      <c r="AQ45" s="46">
        <f t="shared" si="109"/>
        <v>563374</v>
      </c>
      <c r="AR45" s="46">
        <f>AR46*AR$38</f>
        <v>616918.11731723021</v>
      </c>
      <c r="AS45" s="46">
        <f t="shared" ref="AS45" si="140">AS46*AS$38</f>
        <v>676671.54816722369</v>
      </c>
      <c r="AT45" s="46">
        <f t="shared" ref="AT45" si="141">AT46*AT$38</f>
        <v>739488.15456402698</v>
      </c>
      <c r="AU45" s="46">
        <f t="shared" ref="AU45" si="142">AU46*AU$38</f>
        <v>804730.4903139479</v>
      </c>
      <c r="AV45" s="46">
        <f t="shared" ref="AV45" si="143">AV46*AV$38</f>
        <v>880764.50671668013</v>
      </c>
      <c r="AX45" s="28">
        <f>RATE(5,,-AQ45,AV45)</f>
        <v>9.3484423484980969E-2</v>
      </c>
    </row>
    <row r="46" spans="2:63" outlineLevel="1" x14ac:dyDescent="0.2">
      <c r="B46" s="75" t="s">
        <v>225</v>
      </c>
      <c r="C46" s="77">
        <f>C45/C$38</f>
        <v>5.8435037250764398E-2</v>
      </c>
      <c r="D46" s="77">
        <f t="shared" ref="D46" si="144">D45/D$38</f>
        <v>5.4651478596466754E-2</v>
      </c>
      <c r="E46" s="77">
        <f t="shared" ref="E46" si="145">E45/E$38</f>
        <v>5.3384315543342137E-2</v>
      </c>
      <c r="F46" s="77">
        <f t="shared" ref="F46" si="146">F45/F$38</f>
        <v>5.4668058734092508E-2</v>
      </c>
      <c r="G46" s="77">
        <f t="shared" ref="G46" si="147">G45/G$38</f>
        <v>5.5446591231349658E-2</v>
      </c>
      <c r="H46" s="77">
        <f t="shared" ref="H46" si="148">H45/H$38</f>
        <v>5.1469295937043531E-2</v>
      </c>
      <c r="I46" s="77">
        <f t="shared" ref="I46" si="149">I45/I$38</f>
        <v>5.2169761392683006E-2</v>
      </c>
      <c r="J46" s="77">
        <f t="shared" ref="J46" si="150">J45/J$38</f>
        <v>5.4410737600081444E-2</v>
      </c>
      <c r="K46" s="77">
        <f t="shared" ref="K46" si="151">K45/K$38</f>
        <v>5.1478522996901095E-2</v>
      </c>
      <c r="L46" s="77">
        <f t="shared" ref="L46" si="152">L45/L$38</f>
        <v>4.9267118948974495E-2</v>
      </c>
      <c r="M46" s="77">
        <f t="shared" ref="M46" si="153">M45/M$38</f>
        <v>5.1080767071151979E-2</v>
      </c>
      <c r="N46" s="77">
        <f t="shared" ref="N46" si="154">N45/N$38</f>
        <v>5.2126518089909077E-2</v>
      </c>
      <c r="O46" s="77">
        <f t="shared" ref="O46" si="155">O45/O$38</f>
        <v>5.0224512999991117E-2</v>
      </c>
      <c r="P46" s="77">
        <f t="shared" ref="P46" si="156">P45/P$38</f>
        <v>4.6638931464856578E-2</v>
      </c>
      <c r="Q46" s="77">
        <f t="shared" ref="Q46" si="157">Q45/Q$38</f>
        <v>5.1034945890142243E-2</v>
      </c>
      <c r="R46" s="77">
        <f t="shared" ref="R46" si="158">R45/R$38</f>
        <v>5.146785411782899E-2</v>
      </c>
      <c r="AN46" s="77">
        <f t="shared" ref="AN46" si="159">AN45/AN$38</f>
        <v>5.5201090861727496E-2</v>
      </c>
      <c r="AO46" s="77">
        <f t="shared" ref="AO46" si="160">AO45/AO$38</f>
        <v>5.332293646576608E-2</v>
      </c>
      <c r="AP46" s="77">
        <f t="shared" ref="AP46" si="161">AP45/AP$38</f>
        <v>5.09807429336274E-2</v>
      </c>
      <c r="AQ46" s="77">
        <f t="shared" ref="AQ46" si="162">AQ45/AQ$38</f>
        <v>4.979506977774411E-2</v>
      </c>
      <c r="AR46" s="87">
        <f>AQ46</f>
        <v>4.979506977774411E-2</v>
      </c>
      <c r="AS46" s="87">
        <f t="shared" ref="AS46:AV46" si="163">AR46</f>
        <v>4.979506977774411E-2</v>
      </c>
      <c r="AT46" s="87">
        <f t="shared" si="163"/>
        <v>4.979506977774411E-2</v>
      </c>
      <c r="AU46" s="87">
        <f t="shared" si="163"/>
        <v>4.979506977774411E-2</v>
      </c>
      <c r="AV46" s="87">
        <f t="shared" si="163"/>
        <v>4.979506977774411E-2</v>
      </c>
    </row>
    <row r="47" spans="2:63" outlineLevel="1" x14ac:dyDescent="0.2">
      <c r="B47" s="4" t="s">
        <v>32</v>
      </c>
      <c r="C47" s="9">
        <v>294710</v>
      </c>
      <c r="D47" s="9">
        <v>287242</v>
      </c>
      <c r="E47" s="9">
        <v>294650</v>
      </c>
      <c r="F47" s="9">
        <v>320452</v>
      </c>
      <c r="G47" s="9">
        <v>330695</v>
      </c>
      <c r="H47" s="9">
        <v>317481</v>
      </c>
      <c r="I47" s="9">
        <v>322085</v>
      </c>
      <c r="J47" s="9">
        <v>341644</v>
      </c>
      <c r="K47" s="9">
        <v>363206</v>
      </c>
      <c r="L47" s="9">
        <v>349707</v>
      </c>
      <c r="M47" s="9">
        <v>345368</v>
      </c>
      <c r="N47" s="9">
        <v>370466</v>
      </c>
      <c r="O47" s="9">
        <v>385773</v>
      </c>
      <c r="P47" s="9">
        <v>384754</v>
      </c>
      <c r="Q47" s="9">
        <v>386463</v>
      </c>
      <c r="R47" s="9">
        <v>411490</v>
      </c>
      <c r="AN47" s="46">
        <f t="shared" si="106"/>
        <v>1197054</v>
      </c>
      <c r="AO47" s="46">
        <f t="shared" si="107"/>
        <v>1311905</v>
      </c>
      <c r="AP47" s="46">
        <f t="shared" si="108"/>
        <v>1428747</v>
      </c>
      <c r="AQ47" s="46">
        <f t="shared" si="109"/>
        <v>1568480</v>
      </c>
      <c r="AR47" s="46">
        <f>AR48*AR$38</f>
        <v>1717551.2690499197</v>
      </c>
      <c r="AS47" s="46">
        <f t="shared" ref="AS47" si="164">AS48*AS$38</f>
        <v>1883909.7826121317</v>
      </c>
      <c r="AT47" s="46">
        <f t="shared" ref="AT47" si="165">AT48*AT$38</f>
        <v>2058796.4312704972</v>
      </c>
      <c r="AU47" s="46">
        <f t="shared" ref="AU47" si="166">AU48*AU$38</f>
        <v>2240436.5118866349</v>
      </c>
      <c r="AV47" s="46">
        <f t="shared" ref="AV47" si="167">AV48*AV$38</f>
        <v>2452121.5276086195</v>
      </c>
      <c r="AX47" s="28">
        <f>RATE(5,,-AQ47,AV47)</f>
        <v>9.3484423484980775E-2</v>
      </c>
    </row>
    <row r="48" spans="2:63" outlineLevel="1" x14ac:dyDescent="0.2">
      <c r="B48" s="75" t="s">
        <v>225</v>
      </c>
      <c r="C48" s="77">
        <f>C47/C$38</f>
        <v>0.16922038958988272</v>
      </c>
      <c r="D48" s="77">
        <f t="shared" ref="D48" si="168">D47/D$38</f>
        <v>0.15177608058596445</v>
      </c>
      <c r="E48" s="77">
        <f t="shared" ref="E48" si="169">E47/E$38</f>
        <v>0.15092339094869425</v>
      </c>
      <c r="F48" s="77">
        <f t="shared" ref="F48" si="170">F47/F$38</f>
        <v>0.1634431329065664</v>
      </c>
      <c r="G48" s="77">
        <f t="shared" ref="G48" si="171">G47/G$38</f>
        <v>0.16366672457200776</v>
      </c>
      <c r="H48" s="77">
        <f t="shared" ref="H48" si="172">H47/H$38</f>
        <v>0.14343984360281006</v>
      </c>
      <c r="I48" s="77">
        <f t="shared" ref="I48" si="173">I47/I$38</f>
        <v>0.14507189748555857</v>
      </c>
      <c r="J48" s="77">
        <f t="shared" ref="J48" si="174">J47/J$38</f>
        <v>0.15667438167219191</v>
      </c>
      <c r="K48" s="77">
        <f t="shared" ref="K48" si="175">K47/K$38</f>
        <v>0.15334335340161614</v>
      </c>
      <c r="L48" s="77">
        <f t="shared" ref="L48" si="176">L47/L$38</f>
        <v>0.13905951206477171</v>
      </c>
      <c r="M48" s="77">
        <f t="shared" ref="M48" si="177">M47/M$38</f>
        <v>0.13971491309687745</v>
      </c>
      <c r="N48" s="77">
        <f t="shared" ref="N48" si="178">N47/N$38</f>
        <v>0.14722531315571946</v>
      </c>
      <c r="O48" s="77">
        <f t="shared" ref="O48" si="179">O47/O$38</f>
        <v>0.14278116311502351</v>
      </c>
      <c r="P48" s="77">
        <f t="shared" ref="P48" si="180">P47/P$38</f>
        <v>0.12941098517145475</v>
      </c>
      <c r="Q48" s="77">
        <f t="shared" ref="Q48" si="181">Q47/Q$38</f>
        <v>0.13833989123617901</v>
      </c>
      <c r="R48" s="77">
        <f t="shared" ref="R48" si="182">R47/R$38</f>
        <v>0.14462044557535031</v>
      </c>
      <c r="AN48" s="77">
        <f t="shared" ref="AN48" si="183">AN47/AN$38</f>
        <v>0.15861194178767071</v>
      </c>
      <c r="AO48" s="77">
        <f t="shared" ref="AO48" si="184">AO47/AO$38</f>
        <v>0.15193490137182136</v>
      </c>
      <c r="AP48" s="77">
        <f t="shared" ref="AP48" si="185">AP47/AP$38</f>
        <v>0.1447323542399046</v>
      </c>
      <c r="AQ48" s="77">
        <f t="shared" ref="AQ48" si="186">AQ47/AQ$38</f>
        <v>0.13863360936961253</v>
      </c>
      <c r="AR48" s="87">
        <f>AQ48</f>
        <v>0.13863360936961253</v>
      </c>
      <c r="AS48" s="87">
        <f t="shared" ref="AS48:AV50" si="187">AR48</f>
        <v>0.13863360936961253</v>
      </c>
      <c r="AT48" s="87">
        <f t="shared" si="187"/>
        <v>0.13863360936961253</v>
      </c>
      <c r="AU48" s="87">
        <f t="shared" si="187"/>
        <v>0.13863360936961253</v>
      </c>
      <c r="AV48" s="87">
        <f t="shared" si="187"/>
        <v>0.13863360936961253</v>
      </c>
    </row>
    <row r="49" spans="2:53" outlineLevel="1" x14ac:dyDescent="0.2">
      <c r="B49" s="4" t="s">
        <v>33</v>
      </c>
      <c r="C49" s="9">
        <v>155103</v>
      </c>
      <c r="D49" s="9">
        <v>146044</v>
      </c>
      <c r="E49" s="9">
        <v>145930</v>
      </c>
      <c r="F49" s="9">
        <v>159777</v>
      </c>
      <c r="G49" s="9">
        <v>147402</v>
      </c>
      <c r="H49" s="9">
        <v>140820</v>
      </c>
      <c r="I49" s="9">
        <v>140896</v>
      </c>
      <c r="J49" s="9">
        <v>135073</v>
      </c>
      <c r="K49" s="9">
        <v>148340</v>
      </c>
      <c r="L49" s="9">
        <v>156496</v>
      </c>
      <c r="M49" s="9">
        <v>159501</v>
      </c>
      <c r="N49" s="9">
        <v>169247</v>
      </c>
      <c r="O49" s="9">
        <v>204625</v>
      </c>
      <c r="P49" s="9">
        <v>175028</v>
      </c>
      <c r="Q49" s="9">
        <v>126614</v>
      </c>
      <c r="R49" s="9">
        <v>191216</v>
      </c>
      <c r="AN49" s="46">
        <f t="shared" si="106"/>
        <v>606854</v>
      </c>
      <c r="AO49" s="46">
        <f t="shared" si="107"/>
        <v>564191</v>
      </c>
      <c r="AP49" s="46">
        <f t="shared" si="108"/>
        <v>633584</v>
      </c>
      <c r="AQ49" s="46">
        <f t="shared" si="109"/>
        <v>697483</v>
      </c>
      <c r="AR49" s="46">
        <f>AR50*AR$38</f>
        <v>763773.08718679554</v>
      </c>
      <c r="AS49" s="46">
        <f t="shared" ref="AS49" si="188">AS50*AS$38</f>
        <v>837750.59095790668</v>
      </c>
      <c r="AT49" s="46">
        <f t="shared" ref="AT49" si="189">AT50*AT$38</f>
        <v>915520.4473578498</v>
      </c>
      <c r="AU49" s="46">
        <f t="shared" ref="AU49" si="190">AU50*AU$38</f>
        <v>996293.46859394177</v>
      </c>
      <c r="AV49" s="46">
        <f t="shared" ref="AV49" si="191">AV50*AV$38</f>
        <v>1090427.088289964</v>
      </c>
      <c r="AX49" s="28">
        <f>RATE(5,,-AQ49,AV49)</f>
        <v>9.3484423484980872E-2</v>
      </c>
    </row>
    <row r="50" spans="2:53" outlineLevel="1" x14ac:dyDescent="0.2">
      <c r="B50" s="75" t="s">
        <v>225</v>
      </c>
      <c r="C50" s="77">
        <f>C49/C$38</f>
        <v>8.9059041384953269E-2</v>
      </c>
      <c r="D50" s="77">
        <f t="shared" ref="D50" si="192">D49/D$38</f>
        <v>7.7168331626630476E-2</v>
      </c>
      <c r="E50" s="77">
        <f t="shared" ref="E50" si="193">E49/E$38</f>
        <v>7.4747159141839298E-2</v>
      </c>
      <c r="F50" s="77">
        <f t="shared" ref="F50" si="194">F49/F$38</f>
        <v>8.1492558780761115E-2</v>
      </c>
      <c r="G50" s="77">
        <f t="shared" ref="G50" si="195">G49/G$38</f>
        <v>7.2951821271452819E-2</v>
      </c>
      <c r="H50" s="77">
        <f t="shared" ref="H50" si="196">H49/H$38</f>
        <v>6.3623331084845108E-2</v>
      </c>
      <c r="I50" s="77">
        <f t="shared" ref="I50" si="197">I49/I$38</f>
        <v>6.3461664058013442E-2</v>
      </c>
      <c r="J50" s="77">
        <f t="shared" ref="J50" si="198">J49/J$38</f>
        <v>6.1943071605554255E-2</v>
      </c>
      <c r="K50" s="77">
        <f t="shared" ref="K50" si="199">K49/K$38</f>
        <v>6.2628241393577588E-2</v>
      </c>
      <c r="L50" s="77">
        <f t="shared" ref="L50" si="200">L49/L$38</f>
        <v>6.2229973663920128E-2</v>
      </c>
      <c r="M50" s="77">
        <f t="shared" ref="M50" si="201">M49/M$38</f>
        <v>6.4524415562139656E-2</v>
      </c>
      <c r="N50" s="77">
        <f t="shared" ref="N50" si="202">N49/N$38</f>
        <v>6.7259728492401596E-2</v>
      </c>
      <c r="O50" s="77">
        <f t="shared" ref="O50" si="203">O49/O$38</f>
        <v>7.573520049980606E-2</v>
      </c>
      <c r="P50" s="77">
        <f t="shared" ref="P50" si="204">P49/P$38</f>
        <v>5.8870202551732746E-2</v>
      </c>
      <c r="Q50" s="77">
        <f t="shared" ref="Q50" si="205">Q49/Q$38</f>
        <v>4.5323270245735216E-2</v>
      </c>
      <c r="R50" s="77">
        <f t="shared" ref="R50" si="206">R49/R$38</f>
        <v>6.7203925055617841E-2</v>
      </c>
      <c r="AN50" s="77">
        <f t="shared" ref="AN50" si="207">AN49/AN$38</f>
        <v>8.0409314301288934E-2</v>
      </c>
      <c r="AO50" s="77">
        <f t="shared" ref="AO50" si="208">AO49/AO$38</f>
        <v>6.5340328712726353E-2</v>
      </c>
      <c r="AP50" s="77">
        <f t="shared" ref="AP50" si="209">AP49/AP$38</f>
        <v>6.4182184759608046E-2</v>
      </c>
      <c r="AQ50" s="77">
        <f t="shared" ref="AQ50" si="210">AQ49/AQ$38</f>
        <v>6.1648593392294102E-2</v>
      </c>
      <c r="AR50" s="87">
        <f>AQ50</f>
        <v>6.1648593392294102E-2</v>
      </c>
      <c r="AS50" s="87">
        <f t="shared" si="187"/>
        <v>6.1648593392294102E-2</v>
      </c>
      <c r="AT50" s="87">
        <f t="shared" si="187"/>
        <v>6.1648593392294102E-2</v>
      </c>
      <c r="AU50" s="87">
        <f t="shared" si="187"/>
        <v>6.1648593392294102E-2</v>
      </c>
      <c r="AV50" s="87">
        <f t="shared" si="187"/>
        <v>6.1648593392294102E-2</v>
      </c>
    </row>
    <row r="51" spans="2:53" outlineLevel="1" x14ac:dyDescent="0.2">
      <c r="B51" s="4" t="s">
        <v>34</v>
      </c>
      <c r="C51" s="9">
        <v>63122</v>
      </c>
      <c r="D51" s="9">
        <v>62082</v>
      </c>
      <c r="E51" s="9">
        <v>63191</v>
      </c>
      <c r="F51" s="9">
        <v>66262</v>
      </c>
      <c r="G51" s="9">
        <v>71665</v>
      </c>
      <c r="H51" s="9">
        <v>69733</v>
      </c>
      <c r="I51" s="9">
        <v>71416</v>
      </c>
      <c r="J51" s="9">
        <v>74012</v>
      </c>
      <c r="K51" s="9">
        <v>76585</v>
      </c>
      <c r="L51" s="9">
        <v>78771</v>
      </c>
      <c r="M51" s="9">
        <v>78546</v>
      </c>
      <c r="N51" s="9">
        <v>85492</v>
      </c>
      <c r="O51" s="9">
        <v>83243</v>
      </c>
      <c r="P51" s="9">
        <v>83562</v>
      </c>
      <c r="Q51" s="9">
        <v>84349</v>
      </c>
      <c r="R51" s="9">
        <v>83876</v>
      </c>
      <c r="AN51" s="46">
        <f t="shared" si="106"/>
        <v>254657</v>
      </c>
      <c r="AO51" s="46">
        <f t="shared" si="107"/>
        <v>286826</v>
      </c>
      <c r="AP51" s="46">
        <f t="shared" si="108"/>
        <v>319394</v>
      </c>
      <c r="AQ51" s="46">
        <f t="shared" si="109"/>
        <v>335030</v>
      </c>
      <c r="AR51" s="46">
        <f>AR52*AR$38</f>
        <v>366871.87702093401</v>
      </c>
      <c r="AS51" s="46">
        <f t="shared" ref="AS51" si="211">AS52*AS$38</f>
        <v>402406.33891955425</v>
      </c>
      <c r="AT51" s="46">
        <f t="shared" ref="AT51" si="212">AT52*AT$38</f>
        <v>439762.42500290385</v>
      </c>
      <c r="AU51" s="46">
        <f t="shared" ref="AU51" si="213">AU52*AU$38</f>
        <v>478561.05565731111</v>
      </c>
      <c r="AV51" s="46">
        <f t="shared" ref="AV51" si="214">AV52*AV$38</f>
        <v>523777.33563368092</v>
      </c>
      <c r="AX51" s="28">
        <f>RATE(5,,-AQ51,AV51)</f>
        <v>9.348442348498083E-2</v>
      </c>
    </row>
    <row r="52" spans="2:53" outlineLevel="1" x14ac:dyDescent="0.2">
      <c r="B52" s="75" t="s">
        <v>225</v>
      </c>
      <c r="C52" s="77">
        <f>C51/C$38</f>
        <v>3.6244204240414565E-2</v>
      </c>
      <c r="D52" s="77">
        <f t="shared" ref="D52" si="215">D51/D$38</f>
        <v>3.2803568541292169E-2</v>
      </c>
      <c r="E52" s="77">
        <f t="shared" ref="E52" si="216">E51/E$38</f>
        <v>3.2367215331542298E-2</v>
      </c>
      <c r="F52" s="77">
        <f t="shared" ref="F52" si="217">F51/F$38</f>
        <v>3.3796228054918998E-2</v>
      </c>
      <c r="G52" s="77">
        <f t="shared" ref="G52" si="218">G51/G$38</f>
        <v>3.5468258717104691E-2</v>
      </c>
      <c r="H52" s="77">
        <f t="shared" ref="H52" si="219">H51/H$38</f>
        <v>3.1505792831554497E-2</v>
      </c>
      <c r="I52" s="77">
        <f t="shared" ref="I52" si="220">I51/I$38</f>
        <v>3.2166833695542019E-2</v>
      </c>
      <c r="J52" s="77">
        <f t="shared" ref="J52" si="221">J51/J$38</f>
        <v>3.394113268877038E-2</v>
      </c>
      <c r="K52" s="77">
        <f t="shared" ref="K52" si="222">K51/K$38</f>
        <v>3.2333718937084664E-2</v>
      </c>
      <c r="L52" s="77">
        <f t="shared" ref="L52" si="223">L51/L$38</f>
        <v>3.1322955573820754E-2</v>
      </c>
      <c r="M52" s="77">
        <f t="shared" ref="M52" si="224">M51/M$38</f>
        <v>3.1774940249552172E-2</v>
      </c>
      <c r="N52" s="77">
        <f t="shared" ref="N52" si="225">N51/N$38</f>
        <v>3.3975011127360587E-2</v>
      </c>
      <c r="O52" s="77">
        <f t="shared" ref="O52" si="226">O51/O$38</f>
        <v>3.0809653244742118E-2</v>
      </c>
      <c r="P52" s="77">
        <f t="shared" ref="P52" si="227">P51/P$38</f>
        <v>2.8105856580820734E-2</v>
      </c>
      <c r="Q52" s="77">
        <f t="shared" ref="Q52" si="228">Q51/Q$38</f>
        <v>3.0193916328032599E-2</v>
      </c>
      <c r="R52" s="77">
        <f t="shared" ref="R52" si="229">R51/R$38</f>
        <v>2.9478685977977793E-2</v>
      </c>
      <c r="AN52" s="77">
        <f t="shared" ref="AN52" si="230">AN51/AN$38</f>
        <v>3.3742538983055785E-2</v>
      </c>
      <c r="AO52" s="77">
        <f t="shared" ref="AO52" si="231">AO51/AO$38</f>
        <v>3.3218015039864955E-2</v>
      </c>
      <c r="AP52" s="77">
        <f t="shared" ref="AP52" si="232">AP51/AP$38</f>
        <v>3.2354675495451672E-2</v>
      </c>
      <c r="AQ52" s="77">
        <f t="shared" ref="AQ52" si="233">AQ51/AQ$38</f>
        <v>2.961237513203948E-2</v>
      </c>
      <c r="AR52" s="87">
        <f>AQ52</f>
        <v>2.961237513203948E-2</v>
      </c>
      <c r="AS52" s="87">
        <f t="shared" ref="AS52:AV56" si="234">AR52</f>
        <v>2.961237513203948E-2</v>
      </c>
      <c r="AT52" s="87">
        <f t="shared" si="234"/>
        <v>2.961237513203948E-2</v>
      </c>
      <c r="AU52" s="87">
        <f t="shared" si="234"/>
        <v>2.961237513203948E-2</v>
      </c>
      <c r="AV52" s="87">
        <f t="shared" si="234"/>
        <v>2.961237513203948E-2</v>
      </c>
    </row>
    <row r="53" spans="2:53" outlineLevel="1" x14ac:dyDescent="0.2">
      <c r="B53" s="4" t="s">
        <v>35</v>
      </c>
      <c r="C53" s="9">
        <v>3421</v>
      </c>
      <c r="D53" s="9">
        <v>4965</v>
      </c>
      <c r="E53" s="9">
        <v>5894</v>
      </c>
      <c r="F53" s="9">
        <v>6984</v>
      </c>
      <c r="G53" s="9">
        <v>5348</v>
      </c>
      <c r="H53" s="9">
        <v>5253</v>
      </c>
      <c r="I53" s="9">
        <v>7618</v>
      </c>
      <c r="J53" s="9">
        <v>11341</v>
      </c>
      <c r="K53" s="9">
        <v>6198</v>
      </c>
      <c r="L53" s="9">
        <v>7538</v>
      </c>
      <c r="M53" s="9">
        <v>9605</v>
      </c>
      <c r="N53" s="9">
        <v>13590</v>
      </c>
      <c r="O53" s="9">
        <v>7211</v>
      </c>
      <c r="P53" s="9">
        <v>8995</v>
      </c>
      <c r="Q53" s="9">
        <v>12786</v>
      </c>
      <c r="R53" s="9">
        <v>12905</v>
      </c>
      <c r="AN53" s="46">
        <f t="shared" si="106"/>
        <v>21264</v>
      </c>
      <c r="AO53" s="46">
        <f t="shared" si="107"/>
        <v>29560</v>
      </c>
      <c r="AP53" s="46">
        <f t="shared" si="108"/>
        <v>36931</v>
      </c>
      <c r="AQ53" s="46">
        <f t="shared" si="109"/>
        <v>41897</v>
      </c>
      <c r="AR53" s="46">
        <f>AR54*AR$38</f>
        <v>45878.969141706926</v>
      </c>
      <c r="AS53" s="46">
        <f t="shared" ref="AS53" si="235">AS54*AS$38</f>
        <v>50322.712538317654</v>
      </c>
      <c r="AT53" s="46">
        <f t="shared" ref="AT53" si="236">AT54*AT$38</f>
        <v>54994.258186868828</v>
      </c>
      <c r="AU53" s="46">
        <f t="shared" ref="AU53" si="237">AU54*AU$38</f>
        <v>59846.200486148591</v>
      </c>
      <c r="AV53" s="46">
        <f t="shared" ref="AV53" si="238">AV54*AV$38</f>
        <v>65500.698537576718</v>
      </c>
      <c r="AX53" s="28">
        <f>RATE(5,,-AQ53,AV53)</f>
        <v>9.3484423484980886E-2</v>
      </c>
    </row>
    <row r="54" spans="2:53" outlineLevel="1" x14ac:dyDescent="0.2">
      <c r="B54" s="75" t="s">
        <v>225</v>
      </c>
      <c r="C54" s="77">
        <f>C53/C$38</f>
        <v>1.9643139112584872E-3</v>
      </c>
      <c r="D54" s="77">
        <f t="shared" ref="D54" si="239">D53/D$38</f>
        <v>2.623461193381586E-3</v>
      </c>
      <c r="E54" s="77">
        <f t="shared" ref="E54" si="240">E53/E$38</f>
        <v>3.0189800313986217E-3</v>
      </c>
      <c r="F54" s="77">
        <f t="shared" ref="F54" si="241">F53/F$38</f>
        <v>3.5621148884059381E-3</v>
      </c>
      <c r="G54" s="77">
        <f t="shared" ref="G54" si="242">G53/G$38</f>
        <v>2.6468184974405345E-3</v>
      </c>
      <c r="H54" s="77">
        <f t="shared" ref="H54" si="243">H53/H$38</f>
        <v>2.3733372971786065E-3</v>
      </c>
      <c r="I54" s="77">
        <f t="shared" ref="I54" si="244">I53/I$38</f>
        <v>3.4312610492416139E-3</v>
      </c>
      <c r="J54" s="77">
        <f t="shared" ref="J54" si="245">J53/J$38</f>
        <v>5.2008645330938888E-3</v>
      </c>
      <c r="K54" s="77">
        <f t="shared" ref="K54" si="246">K53/K$38</f>
        <v>2.6167577198152481E-3</v>
      </c>
      <c r="L54" s="77">
        <f t="shared" ref="L54" si="247">L53/L$38</f>
        <v>2.997453874083874E-3</v>
      </c>
      <c r="M54" s="77">
        <f t="shared" ref="M54" si="248">M53/M$38</f>
        <v>3.8855995352653047E-3</v>
      </c>
      <c r="N54" s="77">
        <f t="shared" ref="N54" si="249">N53/N$38</f>
        <v>5.400743943536593E-3</v>
      </c>
      <c r="O54" s="77">
        <f t="shared" ref="O54" si="250">O53/O$38</f>
        <v>2.6689140173688525E-3</v>
      </c>
      <c r="P54" s="77">
        <f t="shared" ref="P54" si="251">P53/P$38</f>
        <v>3.0254443400646526E-3</v>
      </c>
      <c r="Q54" s="77">
        <f t="shared" ref="Q54" si="252">Q53/Q$38</f>
        <v>4.5769293550631876E-3</v>
      </c>
      <c r="R54" s="77">
        <f t="shared" ref="R54" si="253">R53/R$38</f>
        <v>4.5355339137036037E-3</v>
      </c>
      <c r="AN54" s="77">
        <f t="shared" ref="AN54" si="254">AN53/AN$38</f>
        <v>2.817520621603562E-3</v>
      </c>
      <c r="AO54" s="77">
        <f t="shared" ref="AO54" si="255">AO53/AO$38</f>
        <v>3.4234153269871214E-3</v>
      </c>
      <c r="AP54" s="77">
        <f t="shared" ref="AP54" si="256">AP53/AP$38</f>
        <v>3.7411176187483975E-3</v>
      </c>
      <c r="AQ54" s="77">
        <f t="shared" ref="AQ54" si="257">AQ53/AQ$38</f>
        <v>3.703159958532245E-3</v>
      </c>
      <c r="AR54" s="87">
        <f>AQ54</f>
        <v>3.703159958532245E-3</v>
      </c>
      <c r="AS54" s="87">
        <f t="shared" si="234"/>
        <v>3.703159958532245E-3</v>
      </c>
      <c r="AT54" s="87">
        <f t="shared" si="234"/>
        <v>3.703159958532245E-3</v>
      </c>
      <c r="AU54" s="87">
        <f t="shared" si="234"/>
        <v>3.703159958532245E-3</v>
      </c>
      <c r="AV54" s="87">
        <f t="shared" si="234"/>
        <v>3.703159958532245E-3</v>
      </c>
    </row>
    <row r="55" spans="2:53" outlineLevel="1" x14ac:dyDescent="0.2">
      <c r="B55" s="4" t="s">
        <v>36</v>
      </c>
      <c r="C55" s="9">
        <v>5668</v>
      </c>
      <c r="D55" s="9">
        <v>4266</v>
      </c>
      <c r="E55" s="9">
        <v>4658</v>
      </c>
      <c r="F55" s="9">
        <v>4699</v>
      </c>
      <c r="G55" s="9">
        <v>4310</v>
      </c>
      <c r="H55" s="9">
        <v>4681</v>
      </c>
      <c r="I55" s="9">
        <v>6363</v>
      </c>
      <c r="J55" s="9">
        <v>5785</v>
      </c>
      <c r="K55" s="9">
        <v>8361</v>
      </c>
      <c r="L55" s="9">
        <v>16240</v>
      </c>
      <c r="M55" s="9">
        <v>7241</v>
      </c>
      <c r="N55" s="9">
        <v>6528</v>
      </c>
      <c r="O55" s="9">
        <v>5479</v>
      </c>
      <c r="P55" s="9">
        <v>5762</v>
      </c>
      <c r="Q55" s="9">
        <v>15176</v>
      </c>
      <c r="R55" s="9">
        <v>532</v>
      </c>
      <c r="AN55" s="46">
        <f t="shared" si="106"/>
        <v>19291</v>
      </c>
      <c r="AO55" s="46">
        <f t="shared" si="107"/>
        <v>21139</v>
      </c>
      <c r="AP55" s="46">
        <f t="shared" si="108"/>
        <v>38370</v>
      </c>
      <c r="AQ55" s="46">
        <f t="shared" si="109"/>
        <v>26949</v>
      </c>
      <c r="AR55" s="46">
        <f>AR56*AR$38</f>
        <v>29510.283299516905</v>
      </c>
      <c r="AS55" s="46">
        <f t="shared" ref="AS55" si="258">AS56*AS$38</f>
        <v>32368.589163785531</v>
      </c>
      <c r="AT55" s="46">
        <f t="shared" ref="AT55" si="259">AT56*AT$38</f>
        <v>35373.422055945004</v>
      </c>
      <c r="AU55" s="46">
        <f t="shared" ref="AU55" si="260">AU56*AU$38</f>
        <v>38494.289731990793</v>
      </c>
      <c r="AV55" s="46">
        <f t="shared" ref="AV55" si="261">AV56*AV$38</f>
        <v>42131.377542285962</v>
      </c>
      <c r="AX55" s="28">
        <f>RATE(5,,-AQ55,AV55)</f>
        <v>9.3484423484980816E-2</v>
      </c>
    </row>
    <row r="56" spans="2:53" outlineLevel="1" x14ac:dyDescent="0.2">
      <c r="B56" s="75" t="s">
        <v>225</v>
      </c>
      <c r="C56" s="77">
        <f>C55/C$38</f>
        <v>3.254525357793951E-3</v>
      </c>
      <c r="D56" s="77">
        <f t="shared" ref="D56" si="262">D55/D$38</f>
        <v>2.2541159015036952E-3</v>
      </c>
      <c r="E56" s="77">
        <f t="shared" ref="E56" si="263">E55/E$38</f>
        <v>2.3858854744239532E-3</v>
      </c>
      <c r="F56" s="77">
        <f t="shared" ref="F56" si="264">F55/F$38</f>
        <v>2.3966749514060001E-3</v>
      </c>
      <c r="G56" s="77">
        <f t="shared" ref="G56" si="265">G55/G$38</f>
        <v>2.1330941892237667E-3</v>
      </c>
      <c r="H56" s="77">
        <f t="shared" ref="H56" si="266">H55/H$38</f>
        <v>2.1149042238897881E-3</v>
      </c>
      <c r="I56" s="77">
        <f t="shared" ref="I56" si="267">I55/I$38</f>
        <v>2.8659902935579402E-3</v>
      </c>
      <c r="J56" s="77">
        <f t="shared" ref="J56" si="268">J55/J$38</f>
        <v>2.6529407745303009E-3</v>
      </c>
      <c r="K56" s="77">
        <f t="shared" ref="K56" si="269">K55/K$38</f>
        <v>3.5299631002541606E-3</v>
      </c>
      <c r="L56" s="77">
        <f t="shared" ref="L56" si="270">L55/L$38</f>
        <v>6.4577674336856079E-3</v>
      </c>
      <c r="M56" s="77">
        <f t="shared" ref="M56" si="271">M55/M$38</f>
        <v>2.9292687386627872E-3</v>
      </c>
      <c r="N56" s="77">
        <f t="shared" ref="N56" si="272">N55/N$38</f>
        <v>2.5942646404272908E-3</v>
      </c>
      <c r="O56" s="77">
        <f t="shared" ref="O56" si="273">O55/O$38</f>
        <v>2.0278712940180201E-3</v>
      </c>
      <c r="P56" s="77">
        <f t="shared" ref="P56" si="274">P55/P$38</f>
        <v>1.9380333838190694E-3</v>
      </c>
      <c r="Q56" s="77">
        <f t="shared" ref="Q56" si="275">Q55/Q$38</f>
        <v>5.4324636236851975E-3</v>
      </c>
      <c r="R56" s="77">
        <f t="shared" ref="R56" si="276">R55/R$38</f>
        <v>1.8697435428828492E-4</v>
      </c>
      <c r="AN56" s="77">
        <f t="shared" ref="AN56" si="277">AN55/AN$38</f>
        <v>2.5560943524903269E-3</v>
      </c>
      <c r="AO56" s="77">
        <f t="shared" ref="AO56" si="278">AO55/AO$38</f>
        <v>2.4481588835311486E-3</v>
      </c>
      <c r="AP56" s="77">
        <f t="shared" ref="AP56" si="279">AP55/AP$38</f>
        <v>3.8868886039201758E-3</v>
      </c>
      <c r="AQ56" s="77">
        <f t="shared" ref="AQ56" si="280">AQ55/AQ$38</f>
        <v>2.3819475791222633E-3</v>
      </c>
      <c r="AR56" s="87">
        <f>AQ56</f>
        <v>2.3819475791222633E-3</v>
      </c>
      <c r="AS56" s="87">
        <f t="shared" si="234"/>
        <v>2.3819475791222633E-3</v>
      </c>
      <c r="AT56" s="87">
        <f t="shared" si="234"/>
        <v>2.3819475791222633E-3</v>
      </c>
      <c r="AU56" s="87">
        <f t="shared" si="234"/>
        <v>2.3819475791222633E-3</v>
      </c>
      <c r="AV56" s="87">
        <f t="shared" si="234"/>
        <v>2.3819475791222633E-3</v>
      </c>
    </row>
    <row r="57" spans="2:53" outlineLevel="1" x14ac:dyDescent="0.2">
      <c r="B57" s="38" t="s">
        <v>37</v>
      </c>
      <c r="C57" s="39">
        <v>1580133</v>
      </c>
      <c r="D57" s="39">
        <v>1647013</v>
      </c>
      <c r="E57" s="39">
        <v>1712635</v>
      </c>
      <c r="F57" s="39">
        <v>1802337</v>
      </c>
      <c r="G57" s="39">
        <v>1830318</v>
      </c>
      <c r="H57" s="39">
        <v>1875741</v>
      </c>
      <c r="I57" s="39">
        <v>1883922</v>
      </c>
      <c r="J57" s="39">
        <v>1884268</v>
      </c>
      <c r="K57" s="39">
        <v>2000974</v>
      </c>
      <c r="L57" s="39">
        <v>2082991</v>
      </c>
      <c r="M57" s="39">
        <v>2076998</v>
      </c>
      <c r="N57" s="39">
        <v>2152873</v>
      </c>
      <c r="O57" s="39">
        <v>2260556</v>
      </c>
      <c r="P57" s="39">
        <v>2387064</v>
      </c>
      <c r="Q57" s="39">
        <v>2320320</v>
      </c>
      <c r="R57" s="39">
        <v>2429578</v>
      </c>
      <c r="AN57" s="89">
        <f t="shared" ref="AN57:AV57" si="281">SUM(AN41,AN43,AN45,AN47,AN49,AN51,AN53,AN55)</f>
        <v>6742118</v>
      </c>
      <c r="AO57" s="89">
        <f t="shared" si="281"/>
        <v>7474249</v>
      </c>
      <c r="AP57" s="89">
        <f t="shared" si="281"/>
        <v>8313836</v>
      </c>
      <c r="AQ57" s="89">
        <f t="shared" si="281"/>
        <v>9397518</v>
      </c>
      <c r="AR57" s="89">
        <f t="shared" si="281"/>
        <v>10452330.531866353</v>
      </c>
      <c r="AS57" s="89">
        <f t="shared" si="281"/>
        <v>11581826.791051421</v>
      </c>
      <c r="AT57" s="89">
        <f t="shared" si="281"/>
        <v>12627832.246792044</v>
      </c>
      <c r="AU57" s="89">
        <f t="shared" si="281"/>
        <v>13657303.16956318</v>
      </c>
      <c r="AV57" s="89">
        <f t="shared" si="281"/>
        <v>14865645.983252289</v>
      </c>
      <c r="AX57" s="88">
        <f>RATE(5,,-AQ57,AV57)</f>
        <v>9.605948321743886E-2</v>
      </c>
    </row>
    <row r="58" spans="2:53" ht="15" outlineLevel="1" x14ac:dyDescent="0.25">
      <c r="B58" s="40" t="s">
        <v>38</v>
      </c>
      <c r="C58" s="41">
        <v>161442</v>
      </c>
      <c r="D58" s="41">
        <v>245525</v>
      </c>
      <c r="E58" s="41">
        <v>239680</v>
      </c>
      <c r="F58" s="41">
        <v>158296</v>
      </c>
      <c r="G58" s="41">
        <v>190221</v>
      </c>
      <c r="H58" s="41">
        <v>337598</v>
      </c>
      <c r="I58" s="41">
        <v>336253</v>
      </c>
      <c r="J58" s="41">
        <v>296331</v>
      </c>
      <c r="K58" s="41">
        <v>367606</v>
      </c>
      <c r="L58" s="41">
        <v>431810</v>
      </c>
      <c r="M58" s="41">
        <v>394950</v>
      </c>
      <c r="N58" s="41">
        <v>363447</v>
      </c>
      <c r="O58" s="41">
        <v>441292</v>
      </c>
      <c r="P58" s="41">
        <v>586053</v>
      </c>
      <c r="Q58" s="41">
        <v>473256</v>
      </c>
      <c r="R58" s="41">
        <v>415732</v>
      </c>
      <c r="AN58" s="55">
        <f>AN38-AN57</f>
        <v>804943</v>
      </c>
      <c r="AO58" s="55">
        <f t="shared" ref="AO58:AV58" si="282">AO38-AO57</f>
        <v>1160403</v>
      </c>
      <c r="AP58" s="55">
        <f t="shared" si="282"/>
        <v>1557813</v>
      </c>
      <c r="AQ58" s="55">
        <f t="shared" si="282"/>
        <v>1916333</v>
      </c>
      <c r="AR58" s="55">
        <f t="shared" si="282"/>
        <v>1936810.0009371899</v>
      </c>
      <c r="AS58" s="55">
        <f t="shared" si="282"/>
        <v>2007300.630347671</v>
      </c>
      <c r="AT58" s="55">
        <f t="shared" si="282"/>
        <v>2222797.7024110984</v>
      </c>
      <c r="AU58" s="55">
        <f t="shared" si="282"/>
        <v>2503543.5549376849</v>
      </c>
      <c r="AV58" s="55">
        <f t="shared" si="282"/>
        <v>2822139.3868233953</v>
      </c>
      <c r="AX58" s="90">
        <f>RATE(5,,-AQ58,AV58)</f>
        <v>8.0491852256438678E-2</v>
      </c>
    </row>
    <row r="59" spans="2:53" outlineLevel="1" x14ac:dyDescent="0.2">
      <c r="B59" s="75" t="s">
        <v>158</v>
      </c>
      <c r="C59" s="77">
        <f>C58/C$38</f>
        <v>9.269885017871754E-2</v>
      </c>
      <c r="D59" s="77">
        <f t="shared" ref="D59" si="283">D58/D$38</f>
        <v>0.12973319426082858</v>
      </c>
      <c r="E59" s="77">
        <f t="shared" ref="E59" si="284">E58/E$38</f>
        <v>0.12276707396091308</v>
      </c>
      <c r="F59" s="77">
        <f t="shared" ref="F59" si="285">F58/F$38</f>
        <v>8.0737190488990029E-2</v>
      </c>
      <c r="G59" s="77">
        <f t="shared" ref="G59" si="286">G58/G$38</f>
        <v>9.4143691361562434E-2</v>
      </c>
      <c r="H59" s="77">
        <f t="shared" ref="H59" si="287">H58/H$38</f>
        <v>0.15252882635692047</v>
      </c>
      <c r="I59" s="77">
        <f t="shared" ref="I59" si="288">I58/I$38</f>
        <v>0.15145337642302972</v>
      </c>
      <c r="J59" s="77">
        <f t="shared" ref="J59" si="289">J58/J$38</f>
        <v>0.13589431160887444</v>
      </c>
      <c r="K59" s="77">
        <f t="shared" ref="K59" si="290">K58/K$38</f>
        <v>0.15520100651022975</v>
      </c>
      <c r="L59" s="77">
        <f t="shared" ref="L59" si="291">L58/L$38</f>
        <v>0.17170742337067624</v>
      </c>
      <c r="M59" s="77">
        <f t="shared" ref="M59" si="292">M58/M$38</f>
        <v>0.15977277839177847</v>
      </c>
      <c r="N59" s="77">
        <f t="shared" ref="N59" si="293">N58/N$38</f>
        <v>0.14443592229923063</v>
      </c>
      <c r="O59" s="77">
        <f t="shared" ref="O59" si="294">O58/O$38</f>
        <v>0.16332969138160253</v>
      </c>
      <c r="P59" s="77">
        <f t="shared" ref="P59" si="295">P58/P$38</f>
        <v>0.19711736874129071</v>
      </c>
      <c r="Q59" s="77">
        <f t="shared" ref="Q59" si="296">Q58/Q$38</f>
        <v>0.16940867189580666</v>
      </c>
      <c r="R59" s="77">
        <f t="shared" ref="R59" si="297">R58/R$38</f>
        <v>0.14611132003191216</v>
      </c>
      <c r="AN59" s="77">
        <f t="shared" ref="AN59" si="298">AN58/AN$38</f>
        <v>0.10665648521987565</v>
      </c>
      <c r="AO59" s="77">
        <f t="shared" ref="AO59" si="299">AO58/AO$38</f>
        <v>0.13438908713402695</v>
      </c>
      <c r="AP59" s="77">
        <f t="shared" ref="AP59" si="300">AP58/AP$38</f>
        <v>0.15780676561737558</v>
      </c>
      <c r="AQ59" s="77">
        <f t="shared" ref="AQ59" si="301">AQ58/AQ$38</f>
        <v>0.16937937400801903</v>
      </c>
      <c r="AR59" s="77">
        <f t="shared" ref="AR59" si="302">AR58/AR$38</f>
        <v>0.15633126412675444</v>
      </c>
      <c r="AS59" s="77">
        <f t="shared" ref="AS59" si="303">AS58/AS$38</f>
        <v>0.14771372495828772</v>
      </c>
      <c r="AT59" s="77">
        <f t="shared" ref="AT59" si="304">AT58/AT$38</f>
        <v>0.14967699754247593</v>
      </c>
      <c r="AU59" s="77">
        <f t="shared" ref="AU59" si="305">AU58/AU$38</f>
        <v>0.1549141327565563</v>
      </c>
      <c r="AV59" s="77">
        <f t="shared" ref="AV59" si="306">AV58/AV$38</f>
        <v>0.1595530094795197</v>
      </c>
    </row>
    <row r="60" spans="2:53" ht="15" outlineLevel="1" x14ac:dyDescent="0.25">
      <c r="B60" s="25"/>
      <c r="C60" s="57"/>
      <c r="D60" s="57"/>
      <c r="E60" s="57"/>
      <c r="F60" s="57"/>
      <c r="G60" s="57"/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7"/>
      <c r="AN60" s="55"/>
      <c r="AO60" s="55"/>
      <c r="AP60" s="55"/>
      <c r="AQ60" s="311">
        <f>AQ59-AP59</f>
        <v>1.1572608390643446E-2</v>
      </c>
      <c r="AR60" s="55"/>
      <c r="AS60" s="55"/>
      <c r="AT60" s="55"/>
      <c r="AU60" s="55"/>
      <c r="AV60" s="55"/>
      <c r="AX60" s="90"/>
    </row>
    <row r="61" spans="2:53" outlineLevel="1" x14ac:dyDescent="0.2">
      <c r="B61" s="4" t="s">
        <v>39</v>
      </c>
      <c r="C61" s="9">
        <v>-2168</v>
      </c>
      <c r="D61" s="9">
        <v>851</v>
      </c>
      <c r="E61" s="9">
        <v>-126</v>
      </c>
      <c r="F61" s="9">
        <v>9263</v>
      </c>
      <c r="G61" s="9">
        <v>-213</v>
      </c>
      <c r="H61" s="9">
        <v>10572</v>
      </c>
      <c r="I61" s="9">
        <v>3712</v>
      </c>
      <c r="J61" s="9">
        <v>7057</v>
      </c>
      <c r="K61" s="9">
        <v>8949</v>
      </c>
      <c r="L61" s="9">
        <v>16446</v>
      </c>
      <c r="M61" s="9">
        <v>18392</v>
      </c>
      <c r="N61" s="9">
        <v>18906</v>
      </c>
      <c r="O61" s="9">
        <v>19364</v>
      </c>
      <c r="P61" s="9">
        <v>21861</v>
      </c>
      <c r="Q61" s="9">
        <v>29307</v>
      </c>
      <c r="R61" s="9">
        <v>23365</v>
      </c>
      <c r="AN61" s="46">
        <f t="shared" ref="AN61" si="307">SUM(C61:F61)</f>
        <v>7820</v>
      </c>
      <c r="AO61" s="46">
        <f t="shared" ref="AO61" si="308">SUM(G61:J61)</f>
        <v>21128</v>
      </c>
      <c r="AP61" s="46">
        <f t="shared" ref="AP61" si="309">SUM(K61:N61)</f>
        <v>62693</v>
      </c>
      <c r="AQ61" s="46">
        <f t="shared" ref="AQ61" si="310">SUM(O61:R61)</f>
        <v>93897</v>
      </c>
      <c r="AR61" s="46">
        <f>AR62*AR$38</f>
        <v>102821.14627536232</v>
      </c>
      <c r="AS61" s="46">
        <f t="shared" ref="AS61" si="311">AS62*AS$38</f>
        <v>112780.19283505771</v>
      </c>
      <c r="AT61" s="46">
        <f t="shared" ref="AT61" si="312">AT62*AT$38</f>
        <v>123249.77590215104</v>
      </c>
      <c r="AU61" s="46">
        <f t="shared" ref="AU61" si="313">AU62*AU$38</f>
        <v>134123.65293572081</v>
      </c>
      <c r="AV61" s="46">
        <f t="shared" ref="AV61" si="314">AV62*AV$38</f>
        <v>146796.1689520214</v>
      </c>
      <c r="AX61" s="28">
        <f>RATE(5,,-AQ61,AV61)</f>
        <v>9.3484423484980816E-2</v>
      </c>
    </row>
    <row r="62" spans="2:53" outlineLevel="1" x14ac:dyDescent="0.2">
      <c r="B62" s="75" t="s">
        <v>225</v>
      </c>
      <c r="C62" s="77">
        <f>C61/C$38</f>
        <v>-1.2448502074271851E-3</v>
      </c>
      <c r="D62" s="77">
        <f t="shared" ref="D62" si="315">D61/D$38</f>
        <v>4.4966072015462831E-4</v>
      </c>
      <c r="E62" s="77">
        <f t="shared" ref="E62" si="316">E61/E$38</f>
        <v>-6.4538765516835141E-5</v>
      </c>
      <c r="F62" s="77">
        <f t="shared" ref="F62" si="317">F61/F$38</f>
        <v>4.7244945892474521E-3</v>
      </c>
      <c r="G62" s="77">
        <f t="shared" ref="G62" si="318">G61/G$38</f>
        <v>-1.0541741584794948E-4</v>
      </c>
      <c r="H62" s="77">
        <f t="shared" ref="H62" si="319">H61/H$38</f>
        <v>4.7764937951213079E-3</v>
      </c>
      <c r="I62" s="77">
        <f t="shared" ref="I62" si="320">I61/I$38</f>
        <v>1.6719402749783238E-3</v>
      </c>
      <c r="J62" s="77">
        <f t="shared" ref="J62" si="321">J61/J$38</f>
        <v>3.2362667322144052E-3</v>
      </c>
      <c r="K62" s="77">
        <f t="shared" ref="K62" si="322">K61/K$38</f>
        <v>3.7782131065870689E-3</v>
      </c>
      <c r="L62" s="77">
        <f t="shared" ref="L62" si="323">L61/L$38</f>
        <v>6.5396824639404865E-3</v>
      </c>
      <c r="M62" s="77">
        <f t="shared" ref="M62" si="324">M61/M$38</f>
        <v>7.4402859607079113E-3</v>
      </c>
      <c r="N62" s="77">
        <f t="shared" ref="N62" si="325">N61/N$38</f>
        <v>7.5133528327080814E-3</v>
      </c>
      <c r="O62" s="77">
        <f t="shared" ref="O62" si="326">O61/O$38</f>
        <v>7.1669464751533025E-3</v>
      </c>
      <c r="P62" s="77">
        <f t="shared" ref="P62" si="327">P61/P$38</f>
        <v>7.352889240483977E-3</v>
      </c>
      <c r="Q62" s="77">
        <f t="shared" ref="Q62" si="328">Q61/Q$38</f>
        <v>1.0490854732428972E-2</v>
      </c>
      <c r="R62" s="77">
        <f t="shared" ref="R62" si="329">R61/R$38</f>
        <v>8.2117589998980771E-3</v>
      </c>
      <c r="AN62" s="77">
        <f t="shared" ref="AN62" si="330">AN61/AN$38</f>
        <v>1.0361649389080067E-3</v>
      </c>
      <c r="AO62" s="77">
        <f t="shared" ref="AO62" si="331">AO61/AO$38</f>
        <v>2.4468849468397801E-3</v>
      </c>
      <c r="AP62" s="77">
        <f t="shared" ref="AP62" si="332">AP61/AP$38</f>
        <v>6.3508133240961061E-3</v>
      </c>
      <c r="AQ62" s="77">
        <f t="shared" ref="AQ62" si="333">AQ61/AQ$38</f>
        <v>8.2992961459365158E-3</v>
      </c>
      <c r="AR62" s="87">
        <f>AQ62</f>
        <v>8.2992961459365158E-3</v>
      </c>
      <c r="AS62" s="87">
        <f t="shared" ref="AS62:AV62" si="334">AR62</f>
        <v>8.2992961459365158E-3</v>
      </c>
      <c r="AT62" s="87">
        <f t="shared" si="334"/>
        <v>8.2992961459365158E-3</v>
      </c>
      <c r="AU62" s="87">
        <f t="shared" si="334"/>
        <v>8.2992961459365158E-3</v>
      </c>
      <c r="AV62" s="87">
        <f t="shared" si="334"/>
        <v>8.2992961459365158E-3</v>
      </c>
    </row>
    <row r="63" spans="2:53" outlineLevel="1" x14ac:dyDescent="0.2">
      <c r="B63" s="38" t="s">
        <v>40</v>
      </c>
      <c r="C63" s="39">
        <v>159274</v>
      </c>
      <c r="D63" s="39">
        <v>246376</v>
      </c>
      <c r="E63" s="39">
        <v>239554</v>
      </c>
      <c r="F63" s="39">
        <v>167559</v>
      </c>
      <c r="G63" s="39">
        <v>190008</v>
      </c>
      <c r="H63" s="39">
        <v>348170</v>
      </c>
      <c r="I63" s="39">
        <v>339965</v>
      </c>
      <c r="J63" s="39">
        <v>303388</v>
      </c>
      <c r="K63" s="39">
        <v>376555</v>
      </c>
      <c r="L63" s="39">
        <v>448256</v>
      </c>
      <c r="M63" s="39">
        <v>413342</v>
      </c>
      <c r="N63" s="39">
        <v>382353</v>
      </c>
      <c r="O63" s="39">
        <v>460656</v>
      </c>
      <c r="P63" s="39">
        <v>607914</v>
      </c>
      <c r="Q63" s="39">
        <v>502563</v>
      </c>
      <c r="R63" s="39">
        <v>439097</v>
      </c>
      <c r="AN63" s="16">
        <f>AN58-AN61</f>
        <v>797123</v>
      </c>
      <c r="AO63" s="16">
        <f t="shared" ref="AO63:AV63" si="335">AO58-AO61</f>
        <v>1139275</v>
      </c>
      <c r="AP63" s="16">
        <f t="shared" si="335"/>
        <v>1495120</v>
      </c>
      <c r="AQ63" s="16">
        <f t="shared" si="335"/>
        <v>1822436</v>
      </c>
      <c r="AR63" s="16">
        <f t="shared" si="335"/>
        <v>1833988.8546618277</v>
      </c>
      <c r="AS63" s="16">
        <f t="shared" si="335"/>
        <v>1894520.4375126134</v>
      </c>
      <c r="AT63" s="16">
        <f t="shared" si="335"/>
        <v>2099547.9265089473</v>
      </c>
      <c r="AU63" s="16">
        <f t="shared" si="335"/>
        <v>2369419.9020019639</v>
      </c>
      <c r="AV63" s="16">
        <f t="shared" si="335"/>
        <v>2675343.217871374</v>
      </c>
      <c r="AX63" s="78">
        <f>RATE(5,,-AQ63,AV63)</f>
        <v>7.9805272928420254E-2</v>
      </c>
    </row>
    <row r="64" spans="2:53" outlineLevel="1" x14ac:dyDescent="0.2">
      <c r="B64" s="4" t="s">
        <v>41</v>
      </c>
      <c r="C64" s="9">
        <v>-32173</v>
      </c>
      <c r="D64" s="9">
        <v>-58402</v>
      </c>
      <c r="E64" s="9">
        <v>-35120</v>
      </c>
      <c r="F64" s="9">
        <v>-34084</v>
      </c>
      <c r="G64" s="9">
        <v>-31714</v>
      </c>
      <c r="H64" s="9">
        <v>-88228</v>
      </c>
      <c r="I64" s="9">
        <v>-82827</v>
      </c>
      <c r="J64" s="9">
        <v>-79661</v>
      </c>
      <c r="K64" s="9">
        <v>84911</v>
      </c>
      <c r="L64" s="9">
        <v>106466</v>
      </c>
      <c r="M64" s="9">
        <v>100125</v>
      </c>
      <c r="N64" s="9">
        <v>100267</v>
      </c>
      <c r="O64" s="9">
        <v>101369</v>
      </c>
      <c r="P64" s="9">
        <v>152243</v>
      </c>
      <c r="Q64" s="9">
        <v>115175</v>
      </c>
      <c r="R64" s="9">
        <v>107333</v>
      </c>
      <c r="AN64" s="46">
        <f t="shared" ref="AN64" si="336">SUM(C64:F64)</f>
        <v>-159779</v>
      </c>
      <c r="AO64" s="46">
        <f t="shared" ref="AO64" si="337">SUM(G64:J64)</f>
        <v>-282430</v>
      </c>
      <c r="AP64" s="46">
        <f t="shared" ref="AP64" si="338">SUM(K64:N64)</f>
        <v>391769</v>
      </c>
      <c r="AQ64" s="46">
        <f t="shared" ref="AQ64" si="339">SUM(O64:R64)</f>
        <v>476120</v>
      </c>
      <c r="AR64" s="61">
        <f>AR63*$BA$64</f>
        <v>476837.1022120752</v>
      </c>
      <c r="AS64" s="61">
        <f t="shared" ref="AS64:AV64" si="340">AS63*$BA$64</f>
        <v>492575.31375327951</v>
      </c>
      <c r="AT64" s="61">
        <f t="shared" si="340"/>
        <v>545882.46089232631</v>
      </c>
      <c r="AU64" s="61">
        <f t="shared" si="340"/>
        <v>616049.1745205106</v>
      </c>
      <c r="AV64" s="61">
        <f t="shared" si="340"/>
        <v>695589.23664655723</v>
      </c>
      <c r="AZ64" s="4" t="s">
        <v>229</v>
      </c>
      <c r="BA64" s="59">
        <v>0.26</v>
      </c>
    </row>
    <row r="65" spans="2:50" ht="15" outlineLevel="1" x14ac:dyDescent="0.25">
      <c r="B65" s="40" t="s">
        <v>42</v>
      </c>
      <c r="C65" s="43">
        <v>127101</v>
      </c>
      <c r="D65" s="43">
        <v>187974</v>
      </c>
      <c r="E65" s="43">
        <v>204434</v>
      </c>
      <c r="F65" s="43">
        <v>133475</v>
      </c>
      <c r="G65" s="43">
        <v>158294</v>
      </c>
      <c r="H65" s="43">
        <v>259942</v>
      </c>
      <c r="I65" s="43">
        <v>257138</v>
      </c>
      <c r="J65" s="43">
        <v>223727</v>
      </c>
      <c r="K65" s="43">
        <v>291644</v>
      </c>
      <c r="L65" s="43">
        <v>341790</v>
      </c>
      <c r="M65" s="43">
        <v>313217</v>
      </c>
      <c r="N65" s="43">
        <v>282086</v>
      </c>
      <c r="O65" s="43">
        <v>359287</v>
      </c>
      <c r="P65" s="43">
        <v>455671</v>
      </c>
      <c r="Q65" s="43">
        <v>387388</v>
      </c>
      <c r="R65" s="43">
        <v>331764</v>
      </c>
      <c r="AN65" s="43">
        <f>AN63-AN64</f>
        <v>956902</v>
      </c>
      <c r="AO65" s="43">
        <f t="shared" ref="AO65:AV65" si="341">AO63-AO64</f>
        <v>1421705</v>
      </c>
      <c r="AP65" s="43">
        <f t="shared" si="341"/>
        <v>1103351</v>
      </c>
      <c r="AQ65" s="43">
        <f t="shared" si="341"/>
        <v>1346316</v>
      </c>
      <c r="AR65" s="43">
        <f t="shared" si="341"/>
        <v>1357151.7524497525</v>
      </c>
      <c r="AS65" s="43">
        <f t="shared" si="341"/>
        <v>1401945.123759334</v>
      </c>
      <c r="AT65" s="43">
        <f t="shared" si="341"/>
        <v>1553665.4656166211</v>
      </c>
      <c r="AU65" s="43">
        <f t="shared" si="341"/>
        <v>1753370.7274814532</v>
      </c>
      <c r="AV65" s="43">
        <f t="shared" si="341"/>
        <v>1979753.9812248168</v>
      </c>
      <c r="AX65" s="80">
        <f>RATE(5,,-AQ65,AV65)</f>
        <v>8.0171821371663912E-2</v>
      </c>
    </row>
    <row r="66" spans="2:50" outlineLevel="1" x14ac:dyDescent="0.2">
      <c r="B66" s="4" t="s">
        <v>43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</row>
    <row r="67" spans="2:50" outlineLevel="1" x14ac:dyDescent="0.2">
      <c r="B67" s="4" t="s">
        <v>44</v>
      </c>
      <c r="C67" s="13">
        <v>4.5199999999999996</v>
      </c>
      <c r="D67" s="13">
        <v>6.68</v>
      </c>
      <c r="E67" s="13">
        <v>7.26</v>
      </c>
      <c r="F67" s="13">
        <v>4.75</v>
      </c>
      <c r="G67" s="13">
        <v>5.64</v>
      </c>
      <c r="H67" s="13">
        <v>9.32</v>
      </c>
      <c r="I67" s="13">
        <v>9.26</v>
      </c>
      <c r="J67" s="13">
        <v>8.08</v>
      </c>
      <c r="K67" s="13">
        <v>10.56</v>
      </c>
      <c r="L67" s="13">
        <v>0.25</v>
      </c>
      <c r="M67" s="13">
        <v>0.23</v>
      </c>
      <c r="N67" s="13">
        <v>0.21</v>
      </c>
      <c r="O67" s="13">
        <v>13.09</v>
      </c>
      <c r="P67" s="13">
        <v>0.33</v>
      </c>
      <c r="Q67" s="13">
        <v>0.28000000000000003</v>
      </c>
      <c r="R67" s="13">
        <v>0.24</v>
      </c>
      <c r="AN67" s="13">
        <f>AN$65/AN70</f>
        <v>34.014716337267167</v>
      </c>
      <c r="AO67" s="13">
        <f t="shared" ref="AO67:AQ67" si="342">AO$65/AO70</f>
        <v>51.046362371527309</v>
      </c>
      <c r="AP67" s="13">
        <f t="shared" si="342"/>
        <v>1.0615819948313652</v>
      </c>
      <c r="AQ67" s="13">
        <f t="shared" si="342"/>
        <v>1.304367539916292</v>
      </c>
      <c r="AR67" s="13">
        <f t="shared" ref="AR67:AV67" si="343">AR$65/AR70</f>
        <v>1.0013389676882964</v>
      </c>
      <c r="AS67" s="13">
        <f>AS$65/AS70</f>
        <v>1.041460317561389</v>
      </c>
      <c r="AT67" s="13">
        <f t="shared" si="343"/>
        <v>1.1621134589774837</v>
      </c>
      <c r="AU67" s="13">
        <f t="shared" si="343"/>
        <v>1.3205798184045046</v>
      </c>
      <c r="AV67" s="13">
        <f t="shared" si="343"/>
        <v>1.5014915097372528</v>
      </c>
    </row>
    <row r="68" spans="2:50" outlineLevel="1" x14ac:dyDescent="0.2">
      <c r="B68" s="4" t="s">
        <v>45</v>
      </c>
      <c r="C68" s="13">
        <v>4.45</v>
      </c>
      <c r="D68" s="13">
        <v>6.6</v>
      </c>
      <c r="E68" s="13">
        <v>7.18</v>
      </c>
      <c r="F68" s="13">
        <v>4.6900000000000004</v>
      </c>
      <c r="G68" s="13">
        <v>5.59</v>
      </c>
      <c r="H68" s="13">
        <v>9.25</v>
      </c>
      <c r="I68" s="13">
        <v>9.1999999999999993</v>
      </c>
      <c r="J68" s="13">
        <v>8.02</v>
      </c>
      <c r="K68" s="13">
        <v>10.5</v>
      </c>
      <c r="L68" s="13">
        <v>0.25</v>
      </c>
      <c r="M68" s="13">
        <v>0.23</v>
      </c>
      <c r="N68" s="13">
        <v>0.2</v>
      </c>
      <c r="O68" s="13">
        <v>13.01</v>
      </c>
      <c r="P68" s="13">
        <v>0.33</v>
      </c>
      <c r="Q68" s="13">
        <v>0.28000000000000003</v>
      </c>
      <c r="R68" s="13">
        <v>0.24</v>
      </c>
      <c r="AN68" s="13">
        <f t="shared" ref="AN68:AQ68" si="344">AN$65/AN71</f>
        <v>33.562849100777775</v>
      </c>
      <c r="AO68" s="13">
        <f t="shared" si="344"/>
        <v>50.662996222649845</v>
      </c>
      <c r="AP68" s="13">
        <f t="shared" si="344"/>
        <v>1.0557673036812596</v>
      </c>
      <c r="AQ68" s="13">
        <f t="shared" si="344"/>
        <v>1.296819636523008</v>
      </c>
      <c r="AR68" s="13">
        <f t="shared" ref="AR68:AV68" si="345">AR$65/AR71</f>
        <v>0.99279502897391547</v>
      </c>
      <c r="AS68" s="13">
        <f>AS$65/AS71</f>
        <v>1.0325138125884015</v>
      </c>
      <c r="AT68" s="13">
        <f t="shared" si="345"/>
        <v>1.1520623764841087</v>
      </c>
      <c r="AU68" s="13">
        <f t="shared" si="345"/>
        <v>1.3090796867256451</v>
      </c>
      <c r="AV68" s="13">
        <f t="shared" si="345"/>
        <v>1.4883254629883023</v>
      </c>
    </row>
    <row r="69" spans="2:50" outlineLevel="1" x14ac:dyDescent="0.2">
      <c r="B69" s="4" t="s">
        <v>46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</row>
    <row r="70" spans="2:50" outlineLevel="1" x14ac:dyDescent="0.2">
      <c r="B70" s="4" t="s">
        <v>44</v>
      </c>
      <c r="C70" s="9">
        <v>28125</v>
      </c>
      <c r="D70" s="9">
        <v>28134</v>
      </c>
      <c r="E70" s="9">
        <v>28150</v>
      </c>
      <c r="F70" s="9">
        <v>28119</v>
      </c>
      <c r="G70" s="9">
        <v>28043</v>
      </c>
      <c r="H70" s="9">
        <v>27905</v>
      </c>
      <c r="I70" s="9">
        <v>27773</v>
      </c>
      <c r="J70" s="9">
        <v>27684</v>
      </c>
      <c r="K70" s="9">
        <v>27624</v>
      </c>
      <c r="L70" s="9">
        <v>1380222</v>
      </c>
      <c r="M70" s="9">
        <v>1377525</v>
      </c>
      <c r="N70" s="9">
        <v>1372013</v>
      </c>
      <c r="O70" s="9">
        <v>27444</v>
      </c>
      <c r="P70" s="9">
        <v>1372800</v>
      </c>
      <c r="Q70" s="9">
        <v>1367038</v>
      </c>
      <c r="R70" s="9">
        <v>1361358</v>
      </c>
      <c r="AN70" s="9">
        <f>AVERAGE(C70:F70)</f>
        <v>28132</v>
      </c>
      <c r="AO70" s="9">
        <f>AVERAGE(G70:J70)</f>
        <v>27851.25</v>
      </c>
      <c r="AP70" s="9">
        <f>AVERAGE(K70:N70)</f>
        <v>1039346</v>
      </c>
      <c r="AQ70" s="9">
        <f>AVERAGE(O70:R70)</f>
        <v>1032160</v>
      </c>
      <c r="AR70" s="9">
        <f>TSM!C8*1000</f>
        <v>1355337</v>
      </c>
      <c r="AS70" s="310">
        <f>AR70+AS73</f>
        <v>1346133.9814099025</v>
      </c>
      <c r="AT70" s="310">
        <f t="shared" ref="AT70:AV70" si="346">AS70+AT73</f>
        <v>1336930.9628198049</v>
      </c>
      <c r="AU70" s="310">
        <f t="shared" si="346"/>
        <v>1327727.9442297074</v>
      </c>
      <c r="AV70" s="310">
        <f t="shared" si="346"/>
        <v>1318524.9256396098</v>
      </c>
    </row>
    <row r="71" spans="2:50" outlineLevel="1" x14ac:dyDescent="0.2">
      <c r="B71" s="4" t="s">
        <v>45</v>
      </c>
      <c r="C71" s="9">
        <v>28582</v>
      </c>
      <c r="D71" s="9">
        <v>28501</v>
      </c>
      <c r="E71" s="9">
        <v>28475</v>
      </c>
      <c r="F71" s="9">
        <v>28485</v>
      </c>
      <c r="G71" s="9">
        <v>28301</v>
      </c>
      <c r="H71" s="9">
        <v>28092</v>
      </c>
      <c r="I71" s="9">
        <v>27956</v>
      </c>
      <c r="J71" s="9">
        <v>27899</v>
      </c>
      <c r="K71" s="9">
        <v>27788</v>
      </c>
      <c r="L71" s="9">
        <v>1387372</v>
      </c>
      <c r="M71" s="9">
        <v>1384062</v>
      </c>
      <c r="N71" s="9">
        <v>1381059</v>
      </c>
      <c r="O71" s="9">
        <v>27624</v>
      </c>
      <c r="P71" s="9">
        <v>1381518</v>
      </c>
      <c r="Q71" s="9">
        <v>1374605</v>
      </c>
      <c r="R71" s="9">
        <v>1368923</v>
      </c>
      <c r="AN71" s="9">
        <f>AVERAGE(C71:F71)</f>
        <v>28510.75</v>
      </c>
      <c r="AO71" s="9">
        <f>AVERAGE(G71:J71)</f>
        <v>28062</v>
      </c>
      <c r="AP71" s="9">
        <f>AVERAGE(K71:N71)</f>
        <v>1045070.25</v>
      </c>
      <c r="AQ71" s="9">
        <f>AVERAGE(O71:R71)</f>
        <v>1038167.5</v>
      </c>
      <c r="AR71" s="9">
        <f>TSM!L15*1000</f>
        <v>1367000.9547211484</v>
      </c>
      <c r="AS71" s="310">
        <f>AR71+AS73</f>
        <v>1357797.9361310508</v>
      </c>
      <c r="AT71" s="310">
        <f t="shared" ref="AT71:AV71" si="347">AS71+AT73</f>
        <v>1348594.9175409533</v>
      </c>
      <c r="AU71" s="310">
        <f t="shared" si="347"/>
        <v>1339391.8989508557</v>
      </c>
      <c r="AV71" s="310">
        <f t="shared" si="347"/>
        <v>1330188.8803607582</v>
      </c>
    </row>
    <row r="72" spans="2:50" outlineLevel="1" x14ac:dyDescent="0.2"/>
    <row r="73" spans="2:50" outlineLevel="1" x14ac:dyDescent="0.2">
      <c r="B73" s="4" t="s">
        <v>313</v>
      </c>
      <c r="L73" s="46"/>
      <c r="AS73" s="9">
        <f>AR174/TSM!$C$6</f>
        <v>-9203.0185900975521</v>
      </c>
      <c r="AT73" s="9">
        <f>AS174/TSM!$C$6</f>
        <v>-9203.0185900975521</v>
      </c>
      <c r="AU73" s="9">
        <f>AT174/TSM!$C$6</f>
        <v>-9203.0185900975521</v>
      </c>
      <c r="AV73" s="9">
        <f>AU174/TSM!$C$6</f>
        <v>-9203.0185900975521</v>
      </c>
    </row>
    <row r="74" spans="2:50" outlineLevel="1" x14ac:dyDescent="0.2"/>
    <row r="75" spans="2:50" outlineLevel="1" x14ac:dyDescent="0.2">
      <c r="B75" s="15" t="s">
        <v>42</v>
      </c>
      <c r="C75" s="42">
        <f t="shared" ref="C75:L75" si="348">C65</f>
        <v>127101</v>
      </c>
      <c r="D75" s="42">
        <f t="shared" si="348"/>
        <v>187974</v>
      </c>
      <c r="E75" s="42">
        <f t="shared" si="348"/>
        <v>204434</v>
      </c>
      <c r="F75" s="42">
        <f t="shared" si="348"/>
        <v>133475</v>
      </c>
      <c r="G75" s="42">
        <f t="shared" si="348"/>
        <v>158294</v>
      </c>
      <c r="H75" s="42">
        <f t="shared" si="348"/>
        <v>259942</v>
      </c>
      <c r="I75" s="42">
        <f t="shared" si="348"/>
        <v>257138</v>
      </c>
      <c r="J75" s="42">
        <f t="shared" si="348"/>
        <v>223727</v>
      </c>
      <c r="K75" s="42">
        <f t="shared" si="348"/>
        <v>291644</v>
      </c>
      <c r="L75" s="42">
        <f t="shared" si="348"/>
        <v>341790</v>
      </c>
      <c r="M75" s="42">
        <f>M65</f>
        <v>313217</v>
      </c>
      <c r="N75" s="42">
        <f t="shared" ref="N75:R75" si="349">N65</f>
        <v>282086</v>
      </c>
      <c r="O75" s="42">
        <f t="shared" si="349"/>
        <v>359287</v>
      </c>
      <c r="P75" s="42">
        <f t="shared" si="349"/>
        <v>455671</v>
      </c>
      <c r="Q75" s="42">
        <f t="shared" si="349"/>
        <v>387388</v>
      </c>
      <c r="R75" s="42">
        <f t="shared" si="349"/>
        <v>331764</v>
      </c>
      <c r="AN75" s="42">
        <f t="shared" ref="AN75:AV75" si="350">AN65</f>
        <v>956902</v>
      </c>
      <c r="AO75" s="42">
        <f t="shared" si="350"/>
        <v>1421705</v>
      </c>
      <c r="AP75" s="42">
        <f t="shared" si="350"/>
        <v>1103351</v>
      </c>
      <c r="AQ75" s="42">
        <f t="shared" si="350"/>
        <v>1346316</v>
      </c>
      <c r="AR75" s="42">
        <f t="shared" si="350"/>
        <v>1357151.7524497525</v>
      </c>
      <c r="AS75" s="42">
        <f t="shared" si="350"/>
        <v>1401945.123759334</v>
      </c>
      <c r="AT75" s="42">
        <f t="shared" si="350"/>
        <v>1553665.4656166211</v>
      </c>
      <c r="AU75" s="42">
        <f t="shared" si="350"/>
        <v>1753370.7274814532</v>
      </c>
      <c r="AV75" s="42">
        <f t="shared" si="350"/>
        <v>1979753.9812248168</v>
      </c>
    </row>
    <row r="76" spans="2:50" outlineLevel="1" x14ac:dyDescent="0.2">
      <c r="B76" s="8" t="s">
        <v>48</v>
      </c>
      <c r="N76" s="12"/>
      <c r="R76" s="12"/>
      <c r="AN76" s="12"/>
      <c r="AO76" s="12"/>
      <c r="AP76" s="12"/>
      <c r="AQ76" s="12"/>
      <c r="AR76" s="12"/>
      <c r="AS76" s="12"/>
      <c r="AT76" s="12"/>
      <c r="AU76" s="12"/>
      <c r="AV76" s="12"/>
    </row>
    <row r="77" spans="2:50" outlineLevel="1" x14ac:dyDescent="0.2">
      <c r="B77" s="8" t="s">
        <v>49</v>
      </c>
      <c r="N77" s="12"/>
      <c r="R77" s="12"/>
      <c r="AN77" s="12"/>
      <c r="AO77" s="12"/>
      <c r="AP77" s="12"/>
      <c r="AQ77" s="12"/>
      <c r="AR77" s="12"/>
      <c r="AS77" s="12"/>
      <c r="AT77" s="12"/>
      <c r="AU77" s="12"/>
      <c r="AV77" s="12"/>
    </row>
    <row r="78" spans="2:50" outlineLevel="1" x14ac:dyDescent="0.2">
      <c r="B78" s="8" t="s">
        <v>50</v>
      </c>
      <c r="C78" s="14">
        <v>2299</v>
      </c>
      <c r="D78" s="14">
        <v>115</v>
      </c>
      <c r="E78" s="14">
        <v>218</v>
      </c>
      <c r="F78" s="14">
        <v>1090</v>
      </c>
      <c r="G78" s="14">
        <v>731</v>
      </c>
      <c r="H78" s="14">
        <v>309</v>
      </c>
      <c r="I78" s="14">
        <v>698</v>
      </c>
      <c r="J78" s="14">
        <v>0</v>
      </c>
      <c r="K78" s="14"/>
      <c r="L78" s="14">
        <v>4765</v>
      </c>
      <c r="M78" s="14"/>
      <c r="N78" s="14">
        <v>0</v>
      </c>
      <c r="O78" s="14"/>
      <c r="P78" s="14"/>
      <c r="Q78" s="14"/>
      <c r="R78" s="14">
        <v>2634</v>
      </c>
      <c r="AN78" s="14">
        <f t="shared" ref="AN78:AN87" si="351">SUM(C78:F78)</f>
        <v>3722</v>
      </c>
      <c r="AO78" s="14">
        <f t="shared" ref="AO78:AO87" si="352">SUM(G78:J78)</f>
        <v>1738</v>
      </c>
      <c r="AP78" s="14">
        <f t="shared" ref="AP78:AP87" si="353">SUM(K78:N78)</f>
        <v>4765</v>
      </c>
      <c r="AQ78" s="14">
        <f t="shared" ref="AQ78:AQ87" si="354">SUM(O78:R78)</f>
        <v>2634</v>
      </c>
      <c r="AR78" s="14"/>
      <c r="AS78" s="14"/>
      <c r="AT78" s="14"/>
      <c r="AU78" s="14"/>
      <c r="AV78" s="14"/>
    </row>
    <row r="79" spans="2:50" outlineLevel="1" x14ac:dyDescent="0.2">
      <c r="B79" s="8" t="s">
        <v>51</v>
      </c>
      <c r="C79" s="14">
        <v>56</v>
      </c>
      <c r="D79" s="14">
        <v>51</v>
      </c>
      <c r="E79" s="14">
        <v>33</v>
      </c>
      <c r="F79" s="14">
        <v>12</v>
      </c>
      <c r="G79" s="14"/>
      <c r="H79" s="14"/>
      <c r="I79" s="14"/>
      <c r="J79" s="14">
        <v>0</v>
      </c>
      <c r="K79" s="14"/>
      <c r="L79" s="14">
        <v>3735</v>
      </c>
      <c r="M79" s="14"/>
      <c r="N79" s="14">
        <v>0</v>
      </c>
      <c r="O79" s="14"/>
      <c r="P79" s="14"/>
      <c r="Q79" s="14"/>
      <c r="R79" s="14">
        <v>-7392</v>
      </c>
      <c r="AN79" s="14">
        <f t="shared" si="351"/>
        <v>152</v>
      </c>
      <c r="AO79" s="14">
        <f t="shared" si="352"/>
        <v>0</v>
      </c>
      <c r="AP79" s="14">
        <f t="shared" si="353"/>
        <v>3735</v>
      </c>
      <c r="AQ79" s="14">
        <f t="shared" si="354"/>
        <v>-7392</v>
      </c>
      <c r="AR79" s="14"/>
      <c r="AS79" s="14"/>
      <c r="AT79" s="14"/>
      <c r="AU79" s="14"/>
      <c r="AV79" s="14"/>
    </row>
    <row r="80" spans="2:50" outlineLevel="1" x14ac:dyDescent="0.2">
      <c r="B80" s="8" t="s">
        <v>52</v>
      </c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>
        <v>0</v>
      </c>
      <c r="O80" s="14"/>
      <c r="P80" s="14"/>
      <c r="Q80" s="14">
        <v>6249</v>
      </c>
      <c r="R80" s="14">
        <v>0</v>
      </c>
      <c r="AN80" s="14">
        <f t="shared" si="351"/>
        <v>0</v>
      </c>
      <c r="AO80" s="14">
        <f t="shared" si="352"/>
        <v>0</v>
      </c>
      <c r="AP80" s="14">
        <f t="shared" si="353"/>
        <v>0</v>
      </c>
      <c r="AQ80" s="14">
        <f t="shared" si="354"/>
        <v>6249</v>
      </c>
      <c r="AR80" s="14"/>
      <c r="AS80" s="14"/>
      <c r="AT80" s="14"/>
      <c r="AU80" s="14"/>
      <c r="AV80" s="14"/>
    </row>
    <row r="81" spans="2:48" outlineLevel="1" x14ac:dyDescent="0.2">
      <c r="B81" s="8" t="s">
        <v>53</v>
      </c>
      <c r="C81" s="14">
        <f>332+1344</f>
        <v>1676</v>
      </c>
      <c r="D81" s="14">
        <v>1070</v>
      </c>
      <c r="E81" s="14">
        <v>1313</v>
      </c>
      <c r="F81" s="14">
        <v>1237</v>
      </c>
      <c r="G81" s="14">
        <v>1166</v>
      </c>
      <c r="H81" s="14">
        <v>856</v>
      </c>
      <c r="I81" s="14">
        <v>1034</v>
      </c>
      <c r="J81" s="14">
        <f>881</f>
        <v>881</v>
      </c>
      <c r="K81" s="14"/>
      <c r="L81" s="14"/>
      <c r="M81" s="14"/>
      <c r="N81" s="14"/>
      <c r="O81" s="14"/>
      <c r="P81" s="14"/>
      <c r="Q81" s="14"/>
      <c r="R81" s="14"/>
      <c r="AN81" s="14">
        <f t="shared" si="351"/>
        <v>5296</v>
      </c>
      <c r="AO81" s="14">
        <f t="shared" si="352"/>
        <v>3937</v>
      </c>
      <c r="AP81" s="14">
        <f t="shared" si="353"/>
        <v>0</v>
      </c>
      <c r="AQ81" s="14">
        <f t="shared" si="354"/>
        <v>0</v>
      </c>
      <c r="AR81" s="14"/>
      <c r="AS81" s="14"/>
      <c r="AT81" s="14"/>
      <c r="AU81" s="14"/>
      <c r="AV81" s="14"/>
    </row>
    <row r="82" spans="2:48" outlineLevel="1" x14ac:dyDescent="0.2">
      <c r="B82" s="8" t="s">
        <v>54</v>
      </c>
      <c r="C82" s="14">
        <v>153</v>
      </c>
      <c r="D82" s="14">
        <v>129</v>
      </c>
      <c r="E82" s="14">
        <v>113</v>
      </c>
      <c r="F82" s="14">
        <v>54</v>
      </c>
      <c r="G82" s="14"/>
      <c r="H82" s="14">
        <v>0</v>
      </c>
      <c r="I82" s="14">
        <v>0</v>
      </c>
      <c r="J82" s="14"/>
      <c r="K82" s="14"/>
      <c r="L82" s="14">
        <v>3495</v>
      </c>
      <c r="M82" s="14">
        <v>1334</v>
      </c>
      <c r="N82" s="14">
        <v>0</v>
      </c>
      <c r="O82" s="14"/>
      <c r="P82" s="14"/>
      <c r="Q82" s="14"/>
      <c r="R82" s="14">
        <v>0</v>
      </c>
      <c r="AN82" s="14">
        <f t="shared" si="351"/>
        <v>449</v>
      </c>
      <c r="AO82" s="14">
        <f t="shared" si="352"/>
        <v>0</v>
      </c>
      <c r="AP82" s="14">
        <f t="shared" si="353"/>
        <v>4829</v>
      </c>
      <c r="AQ82" s="14">
        <f t="shared" si="354"/>
        <v>0</v>
      </c>
      <c r="AR82" s="14"/>
      <c r="AS82" s="14"/>
      <c r="AT82" s="14"/>
      <c r="AU82" s="14"/>
      <c r="AV82" s="14"/>
    </row>
    <row r="83" spans="2:48" outlineLevel="1" x14ac:dyDescent="0.2">
      <c r="B83" s="8" t="s">
        <v>55</v>
      </c>
      <c r="C83" s="14"/>
      <c r="D83" s="14">
        <v>2092</v>
      </c>
      <c r="E83" s="14"/>
      <c r="F83" s="14">
        <v>18025</v>
      </c>
      <c r="G83" s="14">
        <v>-1000</v>
      </c>
      <c r="H83" s="14">
        <v>6798</v>
      </c>
      <c r="I83" s="14"/>
      <c r="J83" s="14">
        <v>3718</v>
      </c>
      <c r="K83" s="14"/>
      <c r="L83" s="14"/>
      <c r="M83" s="14"/>
      <c r="N83" s="14">
        <v>-797</v>
      </c>
      <c r="O83" s="14">
        <v>13275</v>
      </c>
      <c r="P83" s="14">
        <v>3775</v>
      </c>
      <c r="Q83" s="14"/>
      <c r="R83" s="14">
        <v>4387</v>
      </c>
      <c r="AN83" s="14">
        <f t="shared" si="351"/>
        <v>20117</v>
      </c>
      <c r="AO83" s="14">
        <f t="shared" si="352"/>
        <v>9516</v>
      </c>
      <c r="AP83" s="14">
        <f t="shared" si="353"/>
        <v>-797</v>
      </c>
      <c r="AQ83" s="14">
        <f t="shared" si="354"/>
        <v>21437</v>
      </c>
      <c r="AR83" s="14"/>
      <c r="AS83" s="14"/>
      <c r="AT83" s="14"/>
      <c r="AU83" s="14"/>
      <c r="AV83" s="14"/>
    </row>
    <row r="84" spans="2:48" outlineLevel="1" x14ac:dyDescent="0.2">
      <c r="B84" s="8" t="s">
        <v>56</v>
      </c>
      <c r="C84" s="14">
        <v>24366</v>
      </c>
      <c r="D84" s="14">
        <v>23473</v>
      </c>
      <c r="E84" s="14">
        <v>7619</v>
      </c>
      <c r="F84" s="14">
        <v>7619</v>
      </c>
      <c r="G84" s="14">
        <v>2756</v>
      </c>
      <c r="H84" s="14">
        <v>2770</v>
      </c>
      <c r="I84" s="14">
        <v>768</v>
      </c>
      <c r="J84" s="14">
        <v>1117</v>
      </c>
      <c r="K84" s="14"/>
      <c r="L84" s="14"/>
      <c r="M84" s="14"/>
      <c r="N84" s="14">
        <v>0</v>
      </c>
      <c r="O84" s="14"/>
      <c r="P84" s="14"/>
      <c r="Q84" s="14">
        <v>-27863</v>
      </c>
      <c r="R84" s="14">
        <v>0</v>
      </c>
      <c r="AN84" s="14">
        <f t="shared" si="351"/>
        <v>63077</v>
      </c>
      <c r="AO84" s="14">
        <f t="shared" si="352"/>
        <v>7411</v>
      </c>
      <c r="AP84" s="14">
        <f t="shared" si="353"/>
        <v>0</v>
      </c>
      <c r="AQ84" s="14">
        <f t="shared" si="354"/>
        <v>-27863</v>
      </c>
      <c r="AR84" s="14"/>
      <c r="AS84" s="14"/>
      <c r="AT84" s="14"/>
      <c r="AU84" s="14"/>
      <c r="AV84" s="14"/>
    </row>
    <row r="85" spans="2:48" outlineLevel="1" x14ac:dyDescent="0.2">
      <c r="B85" s="8" t="s">
        <v>57</v>
      </c>
      <c r="C85" s="14"/>
      <c r="D85" s="14"/>
      <c r="E85" s="14">
        <v>0</v>
      </c>
      <c r="F85" s="14"/>
      <c r="G85" s="14"/>
      <c r="H85" s="14"/>
      <c r="I85" s="14">
        <v>3538</v>
      </c>
      <c r="J85" s="14"/>
      <c r="K85" s="14"/>
      <c r="L85" s="14"/>
      <c r="M85" s="14"/>
      <c r="N85" s="14">
        <v>0</v>
      </c>
      <c r="O85" s="14"/>
      <c r="P85" s="14"/>
      <c r="Q85" s="14">
        <v>5134</v>
      </c>
      <c r="R85" s="14">
        <v>11945</v>
      </c>
      <c r="AN85" s="14">
        <f t="shared" si="351"/>
        <v>0</v>
      </c>
      <c r="AO85" s="14">
        <f t="shared" si="352"/>
        <v>3538</v>
      </c>
      <c r="AP85" s="14">
        <f t="shared" si="353"/>
        <v>0</v>
      </c>
      <c r="AQ85" s="14">
        <f t="shared" si="354"/>
        <v>17079</v>
      </c>
      <c r="AR85" s="14"/>
      <c r="AS85" s="14"/>
      <c r="AT85" s="14"/>
      <c r="AU85" s="14"/>
      <c r="AV85" s="14"/>
    </row>
    <row r="86" spans="2:48" outlineLevel="1" x14ac:dyDescent="0.2">
      <c r="B86" s="8" t="s">
        <v>58</v>
      </c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>
        <v>6388</v>
      </c>
      <c r="O86" s="14"/>
      <c r="P86" s="14"/>
      <c r="Q86" s="14"/>
      <c r="R86" s="14">
        <v>0</v>
      </c>
      <c r="AN86" s="14">
        <f t="shared" si="351"/>
        <v>0</v>
      </c>
      <c r="AO86" s="14">
        <f t="shared" si="352"/>
        <v>0</v>
      </c>
      <c r="AP86" s="14">
        <f t="shared" si="353"/>
        <v>6388</v>
      </c>
      <c r="AQ86" s="14">
        <f t="shared" si="354"/>
        <v>0</v>
      </c>
      <c r="AR86" s="14"/>
      <c r="AS86" s="14"/>
      <c r="AT86" s="14"/>
      <c r="AU86" s="14"/>
      <c r="AV86" s="14"/>
    </row>
    <row r="87" spans="2:48" outlineLevel="1" x14ac:dyDescent="0.2">
      <c r="B87" s="8" t="s">
        <v>59</v>
      </c>
      <c r="C87" s="14"/>
      <c r="D87" s="14">
        <v>850</v>
      </c>
      <c r="E87" s="14">
        <v>47</v>
      </c>
      <c r="F87" s="14"/>
      <c r="G87" s="14"/>
      <c r="H87" s="14">
        <f>-10410</f>
        <v>-10410</v>
      </c>
      <c r="I87" s="14">
        <v>961</v>
      </c>
      <c r="J87" s="14"/>
      <c r="K87" s="14"/>
      <c r="L87" s="14"/>
      <c r="M87" s="14"/>
      <c r="N87" s="14">
        <v>0</v>
      </c>
      <c r="O87" s="14"/>
      <c r="P87" s="14">
        <v>6016</v>
      </c>
      <c r="Q87" s="14">
        <v>-4635</v>
      </c>
      <c r="R87" s="14">
        <v>0</v>
      </c>
      <c r="AN87" s="14">
        <f t="shared" si="351"/>
        <v>897</v>
      </c>
      <c r="AO87" s="14">
        <f t="shared" si="352"/>
        <v>-9449</v>
      </c>
      <c r="AP87" s="14">
        <f t="shared" si="353"/>
        <v>0</v>
      </c>
      <c r="AQ87" s="14">
        <f t="shared" si="354"/>
        <v>1381</v>
      </c>
      <c r="AR87" s="14"/>
      <c r="AS87" s="14"/>
      <c r="AT87" s="14"/>
      <c r="AU87" s="14"/>
      <c r="AV87" s="14"/>
    </row>
    <row r="88" spans="2:48" outlineLevel="1" x14ac:dyDescent="0.2">
      <c r="B88" s="15" t="s">
        <v>60</v>
      </c>
      <c r="C88" s="16">
        <f t="shared" ref="C88:L88" si="355">SUM(C78:C87)</f>
        <v>28550</v>
      </c>
      <c r="D88" s="16">
        <f t="shared" si="355"/>
        <v>27780</v>
      </c>
      <c r="E88" s="16">
        <f t="shared" si="355"/>
        <v>9343</v>
      </c>
      <c r="F88" s="16">
        <f t="shared" si="355"/>
        <v>28037</v>
      </c>
      <c r="G88" s="16">
        <f t="shared" si="355"/>
        <v>3653</v>
      </c>
      <c r="H88" s="16">
        <f t="shared" si="355"/>
        <v>323</v>
      </c>
      <c r="I88" s="16">
        <f t="shared" si="355"/>
        <v>6999</v>
      </c>
      <c r="J88" s="16">
        <f t="shared" si="355"/>
        <v>5716</v>
      </c>
      <c r="K88" s="16">
        <f t="shared" si="355"/>
        <v>0</v>
      </c>
      <c r="L88" s="16">
        <f t="shared" si="355"/>
        <v>11995</v>
      </c>
      <c r="M88" s="16">
        <f>SUM(M78:M87)</f>
        <v>1334</v>
      </c>
      <c r="N88" s="16">
        <f t="shared" ref="N88:R88" si="356">SUM(N78:N87)</f>
        <v>5591</v>
      </c>
      <c r="O88" s="16">
        <f t="shared" si="356"/>
        <v>13275</v>
      </c>
      <c r="P88" s="16">
        <f t="shared" si="356"/>
        <v>9791</v>
      </c>
      <c r="Q88" s="16">
        <f t="shared" si="356"/>
        <v>-21115</v>
      </c>
      <c r="R88" s="16">
        <f t="shared" si="356"/>
        <v>11574</v>
      </c>
      <c r="AN88" s="16">
        <f t="shared" ref="AN88:AV88" si="357">SUM(AN78:AN87)</f>
        <v>93710</v>
      </c>
      <c r="AO88" s="16">
        <f t="shared" si="357"/>
        <v>16691</v>
      </c>
      <c r="AP88" s="16">
        <f t="shared" si="357"/>
        <v>18920</v>
      </c>
      <c r="AQ88" s="16">
        <f t="shared" si="357"/>
        <v>13525</v>
      </c>
      <c r="AR88" s="16">
        <f t="shared" si="357"/>
        <v>0</v>
      </c>
      <c r="AS88" s="16">
        <f t="shared" si="357"/>
        <v>0</v>
      </c>
      <c r="AT88" s="16">
        <f t="shared" si="357"/>
        <v>0</v>
      </c>
      <c r="AU88" s="16">
        <f t="shared" si="357"/>
        <v>0</v>
      </c>
      <c r="AV88" s="16">
        <f t="shared" si="357"/>
        <v>0</v>
      </c>
    </row>
    <row r="89" spans="2:48" outlineLevel="1" x14ac:dyDescent="0.2">
      <c r="B89" s="15" t="s">
        <v>61</v>
      </c>
      <c r="C89" s="45">
        <v>-2518</v>
      </c>
      <c r="D89" s="45">
        <v>-3002</v>
      </c>
      <c r="E89" s="45">
        <f>1462-15423</f>
        <v>-13961</v>
      </c>
      <c r="F89" s="45">
        <v>-2434</v>
      </c>
      <c r="G89" s="45">
        <v>-554</v>
      </c>
      <c r="H89" s="45">
        <v>920</v>
      </c>
      <c r="I89" s="45">
        <v>1686</v>
      </c>
      <c r="J89" s="45">
        <v>1951</v>
      </c>
      <c r="K89" s="45"/>
      <c r="L89" s="45">
        <v>-2891</v>
      </c>
      <c r="M89" s="45">
        <v>-221</v>
      </c>
      <c r="N89" s="45">
        <v>-1495</v>
      </c>
      <c r="O89" s="45">
        <v>-3307</v>
      </c>
      <c r="P89" s="45">
        <v>-2471</v>
      </c>
      <c r="Q89" s="45">
        <v>360</v>
      </c>
      <c r="R89" s="45">
        <v>-3386</v>
      </c>
      <c r="AN89" s="45">
        <f t="shared" ref="AN89" si="358">SUM(C89:F89)</f>
        <v>-21915</v>
      </c>
      <c r="AO89" s="45">
        <f t="shared" ref="AO89" si="359">SUM(G89:J89)</f>
        <v>4003</v>
      </c>
      <c r="AP89" s="45">
        <f t="shared" ref="AP89" si="360">SUM(K89:N89)</f>
        <v>-4607</v>
      </c>
      <c r="AQ89" s="45">
        <f t="shared" ref="AQ89" si="361">SUM(O89:R89)</f>
        <v>-8804</v>
      </c>
      <c r="AR89" s="45"/>
      <c r="AS89" s="45"/>
      <c r="AT89" s="45"/>
      <c r="AU89" s="45"/>
      <c r="AV89" s="45"/>
    </row>
    <row r="90" spans="2:48" outlineLevel="1" x14ac:dyDescent="0.2">
      <c r="B90" s="8" t="s">
        <v>62</v>
      </c>
      <c r="C90" s="9">
        <f t="shared" ref="C90" si="362">SUM(C88:C89)</f>
        <v>26032</v>
      </c>
      <c r="D90" s="9">
        <f t="shared" ref="D90" si="363">SUM(D88:D89)</f>
        <v>24778</v>
      </c>
      <c r="E90" s="9">
        <f t="shared" ref="E90" si="364">SUM(E88:E89)</f>
        <v>-4618</v>
      </c>
      <c r="F90" s="9">
        <f t="shared" ref="F90" si="365">SUM(F88:F89)</f>
        <v>25603</v>
      </c>
      <c r="G90" s="9">
        <f t="shared" ref="G90" si="366">SUM(G88:G89)</f>
        <v>3099</v>
      </c>
      <c r="H90" s="9">
        <f t="shared" ref="H90" si="367">SUM(H88:H89)</f>
        <v>1243</v>
      </c>
      <c r="I90" s="9">
        <f t="shared" ref="I90" si="368">SUM(I88:I89)</f>
        <v>8685</v>
      </c>
      <c r="J90" s="9">
        <f t="shared" ref="J90" si="369">SUM(J88:J89)</f>
        <v>7667</v>
      </c>
      <c r="K90" s="9">
        <f t="shared" ref="K90" si="370">SUM(K88:K89)</f>
        <v>0</v>
      </c>
      <c r="L90" s="9">
        <f t="shared" ref="L90" si="371">SUM(L88:L89)</f>
        <v>9104</v>
      </c>
      <c r="M90" s="9">
        <f t="shared" ref="M90:Q90" si="372">SUM(M88:M89)</f>
        <v>1113</v>
      </c>
      <c r="N90" s="9">
        <f t="shared" si="372"/>
        <v>4096</v>
      </c>
      <c r="O90" s="9">
        <f t="shared" si="372"/>
        <v>9968</v>
      </c>
      <c r="P90" s="9">
        <f t="shared" si="372"/>
        <v>7320</v>
      </c>
      <c r="Q90" s="9">
        <f t="shared" si="372"/>
        <v>-20755</v>
      </c>
      <c r="R90" s="9">
        <f>SUM(R88:R89)</f>
        <v>8188</v>
      </c>
      <c r="AN90" s="9">
        <f t="shared" ref="AN90:AV90" si="373">SUM(AN88:AN89)</f>
        <v>71795</v>
      </c>
      <c r="AO90" s="9">
        <f t="shared" si="373"/>
        <v>20694</v>
      </c>
      <c r="AP90" s="9">
        <f t="shared" si="373"/>
        <v>14313</v>
      </c>
      <c r="AQ90" s="9">
        <f t="shared" si="373"/>
        <v>4721</v>
      </c>
      <c r="AR90" s="9">
        <f t="shared" si="373"/>
        <v>0</v>
      </c>
      <c r="AS90" s="9">
        <f t="shared" si="373"/>
        <v>0</v>
      </c>
      <c r="AT90" s="9">
        <f t="shared" si="373"/>
        <v>0</v>
      </c>
      <c r="AU90" s="9">
        <f t="shared" si="373"/>
        <v>0</v>
      </c>
      <c r="AV90" s="9">
        <f t="shared" si="373"/>
        <v>0</v>
      </c>
    </row>
    <row r="91" spans="2:48" ht="15" outlineLevel="1" x14ac:dyDescent="0.25">
      <c r="B91" s="44" t="s">
        <v>63</v>
      </c>
      <c r="C91" s="43">
        <f t="shared" ref="C91" si="374">C75+C90</f>
        <v>153133</v>
      </c>
      <c r="D91" s="43">
        <f t="shared" ref="D91" si="375">D75+D90</f>
        <v>212752</v>
      </c>
      <c r="E91" s="43">
        <f t="shared" ref="E91" si="376">E75+E90</f>
        <v>199816</v>
      </c>
      <c r="F91" s="43">
        <f t="shared" ref="F91" si="377">F75+F90</f>
        <v>159078</v>
      </c>
      <c r="G91" s="43">
        <f t="shared" ref="G91" si="378">G75+G90</f>
        <v>161393</v>
      </c>
      <c r="H91" s="43">
        <f t="shared" ref="H91" si="379">H75+H90</f>
        <v>261185</v>
      </c>
      <c r="I91" s="43">
        <f t="shared" ref="I91" si="380">I75+I90</f>
        <v>265823</v>
      </c>
      <c r="J91" s="43">
        <f t="shared" ref="J91" si="381">J75+J90</f>
        <v>231394</v>
      </c>
      <c r="K91" s="43">
        <f t="shared" ref="K91" si="382">K75+K90</f>
        <v>291644</v>
      </c>
      <c r="L91" s="43">
        <f t="shared" ref="L91" si="383">L75+L90</f>
        <v>350894</v>
      </c>
      <c r="M91" s="43">
        <f t="shared" ref="M91:Q91" si="384">M75+M90</f>
        <v>314330</v>
      </c>
      <c r="N91" s="43">
        <f t="shared" si="384"/>
        <v>286182</v>
      </c>
      <c r="O91" s="43">
        <f t="shared" si="384"/>
        <v>369255</v>
      </c>
      <c r="P91" s="43">
        <f t="shared" si="384"/>
        <v>462991</v>
      </c>
      <c r="Q91" s="43">
        <f t="shared" si="384"/>
        <v>366633</v>
      </c>
      <c r="R91" s="43">
        <f>R75+R90</f>
        <v>339952</v>
      </c>
      <c r="S91" s="17"/>
      <c r="AN91" s="43">
        <f t="shared" ref="AN91:AV91" si="385">AN75+AN90</f>
        <v>1028697</v>
      </c>
      <c r="AO91" s="43">
        <f t="shared" si="385"/>
        <v>1442399</v>
      </c>
      <c r="AP91" s="43">
        <f t="shared" si="385"/>
        <v>1117664</v>
      </c>
      <c r="AQ91" s="43">
        <f t="shared" si="385"/>
        <v>1351037</v>
      </c>
      <c r="AR91" s="43">
        <f t="shared" si="385"/>
        <v>1357151.7524497525</v>
      </c>
      <c r="AS91" s="43">
        <f t="shared" si="385"/>
        <v>1401945.123759334</v>
      </c>
      <c r="AT91" s="43">
        <f t="shared" si="385"/>
        <v>1553665.4656166211</v>
      </c>
      <c r="AU91" s="43">
        <f t="shared" si="385"/>
        <v>1753370.7274814532</v>
      </c>
      <c r="AV91" s="43">
        <f t="shared" si="385"/>
        <v>1979753.9812248168</v>
      </c>
    </row>
    <row r="92" spans="2:48" outlineLevel="1" x14ac:dyDescent="0.2">
      <c r="B92" s="8" t="s">
        <v>64</v>
      </c>
      <c r="C92" s="9">
        <f t="shared" ref="C92:M92" si="386">C71</f>
        <v>28582</v>
      </c>
      <c r="D92" s="9">
        <f t="shared" si="386"/>
        <v>28501</v>
      </c>
      <c r="E92" s="9">
        <f t="shared" si="386"/>
        <v>28475</v>
      </c>
      <c r="F92" s="9">
        <f t="shared" si="386"/>
        <v>28485</v>
      </c>
      <c r="G92" s="9">
        <f t="shared" si="386"/>
        <v>28301</v>
      </c>
      <c r="H92" s="9">
        <f t="shared" si="386"/>
        <v>28092</v>
      </c>
      <c r="I92" s="9">
        <f t="shared" si="386"/>
        <v>27956</v>
      </c>
      <c r="J92" s="9">
        <f t="shared" si="386"/>
        <v>27899</v>
      </c>
      <c r="K92" s="9">
        <f t="shared" si="386"/>
        <v>27788</v>
      </c>
      <c r="L92" s="9">
        <f t="shared" si="386"/>
        <v>1387372</v>
      </c>
      <c r="M92" s="9">
        <f t="shared" si="386"/>
        <v>1384062</v>
      </c>
      <c r="N92" s="9">
        <f>N71</f>
        <v>1381059</v>
      </c>
      <c r="O92" s="9">
        <f t="shared" ref="O92:R92" si="387">O71</f>
        <v>27624</v>
      </c>
      <c r="P92" s="9">
        <f t="shared" si="387"/>
        <v>1381518</v>
      </c>
      <c r="Q92" s="9">
        <f t="shared" si="387"/>
        <v>1374605</v>
      </c>
      <c r="R92" s="9">
        <f t="shared" si="387"/>
        <v>1368923</v>
      </c>
      <c r="AN92" s="9">
        <f t="shared" ref="AN92:AV92" si="388">AN71</f>
        <v>28510.75</v>
      </c>
      <c r="AO92" s="9">
        <f t="shared" si="388"/>
        <v>28062</v>
      </c>
      <c r="AP92" s="9">
        <f t="shared" si="388"/>
        <v>1045070.25</v>
      </c>
      <c r="AQ92" s="9">
        <f t="shared" si="388"/>
        <v>1038167.5</v>
      </c>
      <c r="AR92" s="9">
        <f t="shared" si="388"/>
        <v>1367000.9547211484</v>
      </c>
      <c r="AS92" s="9">
        <f>AS71</f>
        <v>1357797.9361310508</v>
      </c>
      <c r="AT92" s="9">
        <f t="shared" si="388"/>
        <v>1348594.9175409533</v>
      </c>
      <c r="AU92" s="9">
        <f t="shared" si="388"/>
        <v>1339391.8989508557</v>
      </c>
      <c r="AV92" s="9">
        <f t="shared" si="388"/>
        <v>1330188.8803607582</v>
      </c>
    </row>
    <row r="93" spans="2:48" outlineLevel="1" x14ac:dyDescent="0.2">
      <c r="B93" s="8" t="s">
        <v>65</v>
      </c>
      <c r="C93" s="13">
        <f t="shared" ref="C93:L93" si="389">C68</f>
        <v>4.45</v>
      </c>
      <c r="D93" s="13">
        <f t="shared" si="389"/>
        <v>6.6</v>
      </c>
      <c r="E93" s="13">
        <f t="shared" si="389"/>
        <v>7.18</v>
      </c>
      <c r="F93" s="13">
        <f t="shared" si="389"/>
        <v>4.6900000000000004</v>
      </c>
      <c r="G93" s="13">
        <f t="shared" si="389"/>
        <v>5.59</v>
      </c>
      <c r="H93" s="13">
        <f t="shared" si="389"/>
        <v>9.25</v>
      </c>
      <c r="I93" s="13">
        <f t="shared" si="389"/>
        <v>9.1999999999999993</v>
      </c>
      <c r="J93" s="13">
        <f t="shared" si="389"/>
        <v>8.02</v>
      </c>
      <c r="K93" s="13">
        <f t="shared" si="389"/>
        <v>10.5</v>
      </c>
      <c r="L93" s="13">
        <f t="shared" si="389"/>
        <v>0.25</v>
      </c>
      <c r="M93" s="13">
        <f t="shared" ref="M93" si="390">M68</f>
        <v>0.23</v>
      </c>
      <c r="N93" s="13">
        <f>N68</f>
        <v>0.2</v>
      </c>
      <c r="O93" s="13">
        <f t="shared" ref="O93:R93" si="391">O68</f>
        <v>13.01</v>
      </c>
      <c r="P93" s="13">
        <f t="shared" si="391"/>
        <v>0.33</v>
      </c>
      <c r="Q93" s="13">
        <f t="shared" si="391"/>
        <v>0.28000000000000003</v>
      </c>
      <c r="R93" s="13">
        <f t="shared" si="391"/>
        <v>0.24</v>
      </c>
      <c r="AN93" s="13">
        <f t="shared" ref="AN93:AV93" si="392">AN68</f>
        <v>33.562849100777775</v>
      </c>
      <c r="AO93" s="13">
        <f t="shared" si="392"/>
        <v>50.662996222649845</v>
      </c>
      <c r="AP93" s="13">
        <f t="shared" si="392"/>
        <v>1.0557673036812596</v>
      </c>
      <c r="AQ93" s="13">
        <f t="shared" si="392"/>
        <v>1.296819636523008</v>
      </c>
      <c r="AR93" s="13">
        <f t="shared" si="392"/>
        <v>0.99279502897391547</v>
      </c>
      <c r="AS93" s="13">
        <f t="shared" si="392"/>
        <v>1.0325138125884015</v>
      </c>
      <c r="AT93" s="13">
        <f t="shared" si="392"/>
        <v>1.1520623764841087</v>
      </c>
      <c r="AU93" s="13">
        <f t="shared" si="392"/>
        <v>1.3090796867256451</v>
      </c>
      <c r="AV93" s="13">
        <f t="shared" si="392"/>
        <v>1.4883254629883023</v>
      </c>
    </row>
    <row r="94" spans="2:48" outlineLevel="1" x14ac:dyDescent="0.2">
      <c r="B94" s="8" t="s">
        <v>66</v>
      </c>
      <c r="C94" s="13">
        <f t="shared" ref="C94:L94" si="393">C91/C92</f>
        <v>5.3576726611153873</v>
      </c>
      <c r="D94" s="13">
        <f t="shared" si="393"/>
        <v>7.4647205361215399</v>
      </c>
      <c r="E94" s="13">
        <f t="shared" si="393"/>
        <v>7.0172431957857766</v>
      </c>
      <c r="F94" s="13">
        <f t="shared" si="393"/>
        <v>5.5846234860452872</v>
      </c>
      <c r="G94" s="13">
        <f t="shared" si="393"/>
        <v>5.702731352249037</v>
      </c>
      <c r="H94" s="13">
        <f t="shared" si="393"/>
        <v>9.2974868289904595</v>
      </c>
      <c r="I94" s="13">
        <f t="shared" si="393"/>
        <v>9.5086206896551726</v>
      </c>
      <c r="J94" s="13">
        <f t="shared" si="393"/>
        <v>8.2939890318649407</v>
      </c>
      <c r="K94" s="13">
        <f t="shared" si="393"/>
        <v>10.495321721606448</v>
      </c>
      <c r="L94" s="13">
        <f t="shared" si="393"/>
        <v>0.25291990900782196</v>
      </c>
      <c r="M94" s="13">
        <f t="shared" ref="M94:Q94" si="394">M91/M92</f>
        <v>0.22710687816008243</v>
      </c>
      <c r="N94" s="13">
        <f t="shared" si="394"/>
        <v>0.2072192426246815</v>
      </c>
      <c r="O94" s="13">
        <f t="shared" si="394"/>
        <v>13.367180712423979</v>
      </c>
      <c r="P94" s="13">
        <f t="shared" si="394"/>
        <v>0.33513207935039574</v>
      </c>
      <c r="Q94" s="13">
        <f t="shared" si="394"/>
        <v>0.26671880285609323</v>
      </c>
      <c r="R94" s="13">
        <f>R91/R92</f>
        <v>0.24833537021439481</v>
      </c>
      <c r="S94" s="18"/>
      <c r="AN94" s="13">
        <f t="shared" ref="AN94:AV94" si="395">AN91/AN92</f>
        <v>36.081022070622481</v>
      </c>
      <c r="AO94" s="13">
        <f t="shared" si="395"/>
        <v>51.400434751621411</v>
      </c>
      <c r="AP94" s="13">
        <f t="shared" si="395"/>
        <v>1.0694630337051505</v>
      </c>
      <c r="AQ94" s="13">
        <f t="shared" si="395"/>
        <v>1.3013670722691666</v>
      </c>
      <c r="AR94" s="13">
        <f t="shared" si="395"/>
        <v>0.99279502897391547</v>
      </c>
      <c r="AS94" s="13">
        <f t="shared" si="395"/>
        <v>1.0325138125884015</v>
      </c>
      <c r="AT94" s="13">
        <f t="shared" si="395"/>
        <v>1.1520623764841087</v>
      </c>
      <c r="AU94" s="13">
        <f t="shared" si="395"/>
        <v>1.3090796867256451</v>
      </c>
      <c r="AV94" s="13">
        <f t="shared" si="395"/>
        <v>1.4883254629883023</v>
      </c>
    </row>
    <row r="95" spans="2:48" outlineLevel="1" x14ac:dyDescent="0.2"/>
    <row r="96" spans="2:48" outlineLevel="1" collapsed="1" x14ac:dyDescent="0.2"/>
    <row r="97" spans="2:48" ht="15" outlineLevel="1" x14ac:dyDescent="0.25">
      <c r="B97" s="22" t="s">
        <v>73</v>
      </c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23"/>
      <c r="AH97" s="23"/>
      <c r="AI97" s="23"/>
      <c r="AJ97" s="23"/>
      <c r="AK97" s="23"/>
      <c r="AL97" s="23"/>
      <c r="AN97" s="22"/>
      <c r="AO97" s="22"/>
      <c r="AP97" s="22"/>
      <c r="AQ97" s="22"/>
      <c r="AR97" s="22"/>
      <c r="AS97" s="22"/>
      <c r="AT97" s="22"/>
      <c r="AU97" s="22"/>
      <c r="AV97" s="22"/>
    </row>
    <row r="98" spans="2:48" outlineLevel="1" x14ac:dyDescent="0.2"/>
    <row r="99" spans="2:48" ht="15" outlineLevel="1" x14ac:dyDescent="0.25">
      <c r="B99" s="19" t="s">
        <v>74</v>
      </c>
      <c r="N99" s="12"/>
      <c r="R99" s="12"/>
    </row>
    <row r="100" spans="2:48" outlineLevel="1" x14ac:dyDescent="0.2">
      <c r="B100" s="8" t="s">
        <v>75</v>
      </c>
      <c r="N100" s="12"/>
      <c r="R100" s="12"/>
    </row>
    <row r="101" spans="2:48" outlineLevel="1" x14ac:dyDescent="0.2">
      <c r="B101" s="8" t="s">
        <v>76</v>
      </c>
      <c r="C101" s="10">
        <v>815374</v>
      </c>
      <c r="D101" s="10">
        <v>815374</v>
      </c>
      <c r="E101" s="10">
        <v>815374</v>
      </c>
      <c r="F101" s="10">
        <v>815374</v>
      </c>
      <c r="G101" s="10">
        <v>615863</v>
      </c>
      <c r="H101" s="10">
        <v>520933</v>
      </c>
      <c r="I101" s="10">
        <v>366623</v>
      </c>
      <c r="J101" s="10">
        <v>384000</v>
      </c>
      <c r="K101" s="10">
        <v>560609</v>
      </c>
      <c r="L101" s="10">
        <v>560609</v>
      </c>
      <c r="M101" s="10">
        <v>560609</v>
      </c>
      <c r="N101" s="10">
        <v>560609</v>
      </c>
      <c r="O101" s="10">
        <v>727394</v>
      </c>
      <c r="P101" s="10">
        <v>806528</v>
      </c>
      <c r="Q101" s="10">
        <v>698547</v>
      </c>
      <c r="R101" s="10">
        <v>748537</v>
      </c>
      <c r="AN101" s="10">
        <f>F101</f>
        <v>815374</v>
      </c>
      <c r="AO101" s="10">
        <f>J101</f>
        <v>384000</v>
      </c>
      <c r="AP101" s="10">
        <f>N101</f>
        <v>560609</v>
      </c>
      <c r="AQ101" s="10">
        <f>R101</f>
        <v>748537</v>
      </c>
      <c r="AR101" s="46">
        <f>AR182</f>
        <v>1568359.7756529003</v>
      </c>
      <c r="AS101" s="46">
        <f t="shared" ref="AS101:AV101" si="396">AS182</f>
        <v>2407608.7926563262</v>
      </c>
      <c r="AT101" s="46">
        <f t="shared" si="396"/>
        <v>3387675.5276180916</v>
      </c>
      <c r="AU101" s="46">
        <f t="shared" si="396"/>
        <v>4556833.1335590491</v>
      </c>
      <c r="AV101" s="46">
        <f t="shared" si="396"/>
        <v>5949118.6039862763</v>
      </c>
    </row>
    <row r="102" spans="2:48" outlineLevel="1" x14ac:dyDescent="0.2">
      <c r="B102" s="8" t="s">
        <v>77</v>
      </c>
      <c r="C102" s="9">
        <v>99599</v>
      </c>
      <c r="D102" s="9">
        <v>99599</v>
      </c>
      <c r="E102" s="9">
        <v>99599</v>
      </c>
      <c r="F102" s="9">
        <v>99599</v>
      </c>
      <c r="G102" s="9">
        <v>89295</v>
      </c>
      <c r="H102" s="9">
        <v>83636</v>
      </c>
      <c r="I102" s="9">
        <v>71276</v>
      </c>
      <c r="J102" s="9">
        <v>106880</v>
      </c>
      <c r="K102" s="9">
        <v>115535</v>
      </c>
      <c r="L102" s="9">
        <v>115535</v>
      </c>
      <c r="M102" s="9">
        <v>115535</v>
      </c>
      <c r="N102" s="9">
        <v>115535</v>
      </c>
      <c r="O102" s="9">
        <v>89836</v>
      </c>
      <c r="P102" s="9">
        <v>97542</v>
      </c>
      <c r="Q102" s="9">
        <v>93202</v>
      </c>
      <c r="R102" s="9">
        <v>143963</v>
      </c>
      <c r="AN102" s="9">
        <f t="shared" ref="AN102:AN114" si="397">F102</f>
        <v>99599</v>
      </c>
      <c r="AO102" s="9">
        <f t="shared" ref="AO102:AO114" si="398">J102</f>
        <v>106880</v>
      </c>
      <c r="AP102" s="9">
        <f t="shared" ref="AP102:AP114" si="399">N102</f>
        <v>115535</v>
      </c>
      <c r="AQ102" s="9">
        <f t="shared" ref="AQ102:AQ114" si="400">R102</f>
        <v>143963</v>
      </c>
      <c r="AR102" s="9">
        <f>AR192</f>
        <v>154982.45324208165</v>
      </c>
      <c r="AS102" s="9">
        <f t="shared" ref="AS102:AV102" si="401">AS192</f>
        <v>169993.7376294407</v>
      </c>
      <c r="AT102" s="9">
        <f t="shared" si="401"/>
        <v>185774.55438686564</v>
      </c>
      <c r="AU102" s="9">
        <f t="shared" si="401"/>
        <v>201612.40124518625</v>
      </c>
      <c r="AV102" s="9">
        <f t="shared" si="401"/>
        <v>221266.06456803199</v>
      </c>
    </row>
    <row r="103" spans="2:48" outlineLevel="1" x14ac:dyDescent="0.2">
      <c r="B103" s="8" t="s">
        <v>78</v>
      </c>
      <c r="C103" s="9">
        <v>32826</v>
      </c>
      <c r="D103" s="9">
        <v>32826</v>
      </c>
      <c r="E103" s="9">
        <v>32826</v>
      </c>
      <c r="F103" s="9">
        <v>32826</v>
      </c>
      <c r="G103" s="9">
        <v>29852</v>
      </c>
      <c r="H103" s="9">
        <v>29456</v>
      </c>
      <c r="I103" s="9">
        <v>33752</v>
      </c>
      <c r="J103" s="9">
        <v>35668</v>
      </c>
      <c r="K103" s="9">
        <v>39309</v>
      </c>
      <c r="L103" s="9">
        <v>39309</v>
      </c>
      <c r="M103" s="9">
        <v>39309</v>
      </c>
      <c r="N103" s="9">
        <v>39309</v>
      </c>
      <c r="O103" s="9">
        <v>37947</v>
      </c>
      <c r="P103" s="9">
        <v>35560</v>
      </c>
      <c r="Q103" s="9">
        <v>49848</v>
      </c>
      <c r="R103" s="9">
        <v>48942</v>
      </c>
      <c r="AN103" s="9">
        <f t="shared" si="397"/>
        <v>32826</v>
      </c>
      <c r="AO103" s="9">
        <f t="shared" si="398"/>
        <v>35668</v>
      </c>
      <c r="AP103" s="9">
        <f t="shared" si="399"/>
        <v>39309</v>
      </c>
      <c r="AQ103" s="9">
        <f t="shared" si="400"/>
        <v>48942</v>
      </c>
      <c r="AR103" s="9">
        <f>AR194</f>
        <v>51193.676090075103</v>
      </c>
      <c r="AS103" s="9">
        <f>AS194</f>
        <v>56725.75005782659</v>
      </c>
      <c r="AT103" s="9">
        <f>AT194</f>
        <v>61848.900758656491</v>
      </c>
      <c r="AU103" s="9">
        <f>AU194</f>
        <v>66708.305744393554</v>
      </c>
      <c r="AV103" s="9">
        <f>AV194</f>
        <v>72809.318746300283</v>
      </c>
    </row>
    <row r="104" spans="2:48" outlineLevel="1" x14ac:dyDescent="0.2">
      <c r="B104" s="8" t="s">
        <v>79</v>
      </c>
      <c r="C104" s="9">
        <v>78756</v>
      </c>
      <c r="D104" s="9">
        <v>78756</v>
      </c>
      <c r="E104" s="9">
        <v>78756</v>
      </c>
      <c r="F104" s="9">
        <v>78756</v>
      </c>
      <c r="G104" s="9">
        <v>70403</v>
      </c>
      <c r="H104" s="9">
        <v>73716</v>
      </c>
      <c r="I104" s="9">
        <v>76439</v>
      </c>
      <c r="J104" s="9">
        <v>86412</v>
      </c>
      <c r="K104" s="9">
        <v>117462</v>
      </c>
      <c r="L104" s="9">
        <v>117462</v>
      </c>
      <c r="M104" s="9">
        <v>117462</v>
      </c>
      <c r="N104" s="9">
        <v>117462</v>
      </c>
      <c r="O104" s="9">
        <v>98118</v>
      </c>
      <c r="P104" s="9">
        <v>91852</v>
      </c>
      <c r="Q104" s="9">
        <v>87896</v>
      </c>
      <c r="R104" s="9">
        <v>97538</v>
      </c>
      <c r="AN104" s="9">
        <f t="shared" si="397"/>
        <v>78756</v>
      </c>
      <c r="AO104" s="9">
        <f t="shared" si="398"/>
        <v>86412</v>
      </c>
      <c r="AP104" s="9">
        <f t="shared" si="399"/>
        <v>117462</v>
      </c>
      <c r="AQ104" s="9">
        <f t="shared" si="400"/>
        <v>97538</v>
      </c>
      <c r="AR104" s="9">
        <f>AR196</f>
        <v>126873.91062785829</v>
      </c>
      <c r="AS104" s="9">
        <f>AS196</f>
        <v>139162.65889535588</v>
      </c>
      <c r="AT104" s="9">
        <f>AT196</f>
        <v>152081.37254991883</v>
      </c>
      <c r="AU104" s="9">
        <f>AU196</f>
        <v>165498.95592562592</v>
      </c>
      <c r="AV104" s="9">
        <f>AV196</f>
        <v>181135.93064069469</v>
      </c>
    </row>
    <row r="105" spans="2:48" outlineLevel="1" x14ac:dyDescent="0.2">
      <c r="B105" s="8" t="s">
        <v>80</v>
      </c>
      <c r="C105" s="9">
        <v>94064</v>
      </c>
      <c r="D105" s="9">
        <v>94064</v>
      </c>
      <c r="E105" s="9">
        <v>94064</v>
      </c>
      <c r="F105" s="9">
        <v>94064</v>
      </c>
      <c r="G105" s="9">
        <v>50701</v>
      </c>
      <c r="H105" s="9">
        <v>97874</v>
      </c>
      <c r="I105" s="9">
        <v>112064</v>
      </c>
      <c r="J105" s="9">
        <v>47741</v>
      </c>
      <c r="K105" s="9">
        <v>52960</v>
      </c>
      <c r="L105" s="9">
        <v>52960</v>
      </c>
      <c r="M105" s="9">
        <v>52960</v>
      </c>
      <c r="N105" s="9">
        <v>52960</v>
      </c>
      <c r="O105" s="9">
        <v>0</v>
      </c>
      <c r="P105" s="9">
        <v>71529</v>
      </c>
      <c r="Q105" s="9">
        <v>82087</v>
      </c>
      <c r="R105" s="9">
        <v>67229</v>
      </c>
      <c r="AN105" s="9">
        <f t="shared" si="397"/>
        <v>94064</v>
      </c>
      <c r="AO105" s="9">
        <f t="shared" si="398"/>
        <v>47741</v>
      </c>
      <c r="AP105" s="9">
        <f t="shared" si="399"/>
        <v>52960</v>
      </c>
      <c r="AQ105" s="9">
        <f t="shared" si="400"/>
        <v>67229</v>
      </c>
      <c r="AR105" s="9">
        <f>AR198</f>
        <v>90749.539535146556</v>
      </c>
      <c r="AS105" s="9">
        <f>AS198</f>
        <v>99539.354881894964</v>
      </c>
      <c r="AT105" s="9">
        <f>AT198</f>
        <v>108779.76774326518</v>
      </c>
      <c r="AU105" s="9">
        <f>AU198</f>
        <v>118377.00887025615</v>
      </c>
      <c r="AV105" s="9">
        <f>AV198</f>
        <v>129561.72169334802</v>
      </c>
    </row>
    <row r="106" spans="2:48" outlineLevel="1" x14ac:dyDescent="0.2">
      <c r="B106" s="8" t="s">
        <v>81</v>
      </c>
      <c r="C106" s="9">
        <v>260945</v>
      </c>
      <c r="D106" s="9">
        <v>260945</v>
      </c>
      <c r="E106" s="9">
        <v>260945</v>
      </c>
      <c r="F106" s="9">
        <v>260945</v>
      </c>
      <c r="G106" s="9">
        <v>240379</v>
      </c>
      <c r="H106" s="9">
        <v>240684</v>
      </c>
      <c r="I106" s="9">
        <v>417278</v>
      </c>
      <c r="J106" s="9">
        <v>515136</v>
      </c>
      <c r="K106" s="9">
        <v>734838</v>
      </c>
      <c r="L106" s="9">
        <v>734838</v>
      </c>
      <c r="M106" s="9">
        <v>734838</v>
      </c>
      <c r="N106" s="9">
        <v>734838</v>
      </c>
      <c r="O106" s="9">
        <v>692474</v>
      </c>
      <c r="P106" s="9">
        <v>683287</v>
      </c>
      <c r="Q106" s="9">
        <v>668676</v>
      </c>
      <c r="R106" s="9">
        <v>674378</v>
      </c>
      <c r="AN106" s="9">
        <f t="shared" si="397"/>
        <v>260945</v>
      </c>
      <c r="AO106" s="9">
        <f t="shared" si="398"/>
        <v>515136</v>
      </c>
      <c r="AP106" s="9">
        <f t="shared" si="399"/>
        <v>734838</v>
      </c>
      <c r="AQ106" s="9">
        <f t="shared" si="400"/>
        <v>674378</v>
      </c>
      <c r="AR106" s="96">
        <f>AQ106</f>
        <v>674378</v>
      </c>
      <c r="AS106" s="96">
        <f t="shared" ref="AS106:AV106" si="402">AR106</f>
        <v>674378</v>
      </c>
      <c r="AT106" s="96">
        <f t="shared" si="402"/>
        <v>674378</v>
      </c>
      <c r="AU106" s="96">
        <f t="shared" si="402"/>
        <v>674378</v>
      </c>
      <c r="AV106" s="96">
        <f t="shared" si="402"/>
        <v>674378</v>
      </c>
    </row>
    <row r="107" spans="2:48" outlineLevel="1" x14ac:dyDescent="0.2">
      <c r="B107" s="8" t="s">
        <v>82</v>
      </c>
      <c r="C107" s="9">
        <v>1381564</v>
      </c>
      <c r="D107" s="9">
        <v>1381564</v>
      </c>
      <c r="E107" s="9">
        <v>1381564</v>
      </c>
      <c r="F107" s="9">
        <v>1381564</v>
      </c>
      <c r="G107" s="9">
        <v>1096493</v>
      </c>
      <c r="H107" s="9">
        <v>1046299</v>
      </c>
      <c r="I107" s="9">
        <v>1077432</v>
      </c>
      <c r="J107" s="9">
        <v>1175837</v>
      </c>
      <c r="K107" s="9">
        <v>1620713</v>
      </c>
      <c r="L107" s="9">
        <v>1620713</v>
      </c>
      <c r="M107" s="9">
        <v>1620713</v>
      </c>
      <c r="N107" s="9">
        <v>1620713</v>
      </c>
      <c r="O107" s="9">
        <v>1645769</v>
      </c>
      <c r="P107" s="9">
        <v>1786298</v>
      </c>
      <c r="Q107" s="9">
        <v>1680256</v>
      </c>
      <c r="R107" s="9">
        <v>1780587</v>
      </c>
      <c r="AN107" s="9">
        <f t="shared" ref="AN107:AP107" si="403">SUM(AN101:AN106)</f>
        <v>1381564</v>
      </c>
      <c r="AO107" s="9">
        <f t="shared" si="403"/>
        <v>1175837</v>
      </c>
      <c r="AP107" s="9">
        <f t="shared" si="403"/>
        <v>1620713</v>
      </c>
      <c r="AQ107" s="9">
        <f>SUM(AQ101:AQ106)</f>
        <v>1780587</v>
      </c>
      <c r="AR107" s="9">
        <f t="shared" ref="AR107:AV107" si="404">SUM(AR101:AR106)</f>
        <v>2666537.3551480621</v>
      </c>
      <c r="AS107" s="9">
        <f t="shared" si="404"/>
        <v>3547408.2941208445</v>
      </c>
      <c r="AT107" s="9">
        <f t="shared" si="404"/>
        <v>4570538.1230567982</v>
      </c>
      <c r="AU107" s="9">
        <f t="shared" si="404"/>
        <v>5783407.8053445108</v>
      </c>
      <c r="AV107" s="9">
        <f t="shared" si="404"/>
        <v>7228269.6396346511</v>
      </c>
    </row>
    <row r="108" spans="2:48" outlineLevel="1" x14ac:dyDescent="0.2">
      <c r="B108" s="8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AN108" s="9"/>
      <c r="AO108" s="9"/>
      <c r="AP108" s="9"/>
      <c r="AQ108" s="9"/>
    </row>
    <row r="109" spans="2:48" outlineLevel="1" x14ac:dyDescent="0.2">
      <c r="B109" s="8" t="s">
        <v>83</v>
      </c>
      <c r="C109" s="9">
        <v>1769278</v>
      </c>
      <c r="D109" s="9">
        <v>1769278</v>
      </c>
      <c r="E109" s="9">
        <v>1769278</v>
      </c>
      <c r="F109" s="9">
        <v>1769278</v>
      </c>
      <c r="G109" s="9">
        <v>1779521</v>
      </c>
      <c r="H109" s="9">
        <v>1813348</v>
      </c>
      <c r="I109" s="9">
        <v>1871623</v>
      </c>
      <c r="J109" s="9">
        <v>1951147</v>
      </c>
      <c r="K109" s="9">
        <v>2170038</v>
      </c>
      <c r="L109" s="9">
        <v>2170038</v>
      </c>
      <c r="M109" s="9">
        <v>2170038</v>
      </c>
      <c r="N109" s="9">
        <v>2170038</v>
      </c>
      <c r="O109" s="9">
        <v>2202739</v>
      </c>
      <c r="P109" s="9">
        <v>2265694</v>
      </c>
      <c r="Q109" s="9">
        <v>2320395</v>
      </c>
      <c r="R109" s="9">
        <v>2390126</v>
      </c>
      <c r="AN109" s="9">
        <f t="shared" si="397"/>
        <v>1769278</v>
      </c>
      <c r="AO109" s="9">
        <f t="shared" si="398"/>
        <v>1951147</v>
      </c>
      <c r="AP109" s="9">
        <f t="shared" si="399"/>
        <v>2170038</v>
      </c>
      <c r="AQ109" s="9">
        <f t="shared" si="400"/>
        <v>2390126</v>
      </c>
      <c r="AR109" s="46">
        <f>AQ109-AR217-AR220</f>
        <v>2682706.123364253</v>
      </c>
      <c r="AS109" s="46">
        <f>AR109-AS217-AS220</f>
        <v>3003624.9608605443</v>
      </c>
      <c r="AT109" s="46">
        <f>AS109-AT217-AT220</f>
        <v>3354335.2567902887</v>
      </c>
      <c r="AU109" s="46">
        <f>AT109-AU217-AU220</f>
        <v>3735987.4396681641</v>
      </c>
      <c r="AV109" s="46">
        <f>AU109-AV217-AV220</f>
        <v>4153699.5813550488</v>
      </c>
    </row>
    <row r="110" spans="2:48" outlineLevel="1" x14ac:dyDescent="0.2">
      <c r="B110" s="8" t="s">
        <v>84</v>
      </c>
      <c r="C110" s="9">
        <v>274311</v>
      </c>
      <c r="D110" s="9">
        <v>274311</v>
      </c>
      <c r="E110" s="9">
        <v>274311</v>
      </c>
      <c r="F110" s="9">
        <v>274311</v>
      </c>
      <c r="G110" s="9">
        <v>333088</v>
      </c>
      <c r="H110" s="9">
        <v>359911</v>
      </c>
      <c r="I110" s="9">
        <v>442620</v>
      </c>
      <c r="J110" s="9">
        <v>388055</v>
      </c>
      <c r="K110" s="9">
        <v>564488</v>
      </c>
      <c r="L110" s="9">
        <v>564488</v>
      </c>
      <c r="M110" s="9">
        <v>564488</v>
      </c>
      <c r="N110" s="9">
        <v>564488</v>
      </c>
      <c r="O110" s="9">
        <v>776815</v>
      </c>
      <c r="P110" s="9">
        <v>972644</v>
      </c>
      <c r="Q110" s="9">
        <v>892487</v>
      </c>
      <c r="R110" s="9">
        <v>868025</v>
      </c>
      <c r="AN110" s="9">
        <f t="shared" si="397"/>
        <v>274311</v>
      </c>
      <c r="AO110" s="9">
        <f t="shared" si="398"/>
        <v>388055</v>
      </c>
      <c r="AP110" s="9">
        <f t="shared" si="399"/>
        <v>564488</v>
      </c>
      <c r="AQ110" s="9">
        <f t="shared" si="400"/>
        <v>868025</v>
      </c>
      <c r="AR110" s="96">
        <f>AQ110</f>
        <v>868025</v>
      </c>
      <c r="AS110" s="96">
        <f t="shared" ref="AS110:AV114" si="405">AR110</f>
        <v>868025</v>
      </c>
      <c r="AT110" s="96">
        <f t="shared" si="405"/>
        <v>868025</v>
      </c>
      <c r="AU110" s="96">
        <f t="shared" si="405"/>
        <v>868025</v>
      </c>
      <c r="AV110" s="96">
        <f t="shared" si="405"/>
        <v>868025</v>
      </c>
    </row>
    <row r="111" spans="2:48" outlineLevel="1" x14ac:dyDescent="0.2">
      <c r="B111" s="8" t="s">
        <v>85</v>
      </c>
      <c r="C111" s="9">
        <v>30856</v>
      </c>
      <c r="D111" s="9">
        <v>30856</v>
      </c>
      <c r="E111" s="9">
        <v>30856</v>
      </c>
      <c r="F111" s="9">
        <v>30856</v>
      </c>
      <c r="G111" s="9">
        <v>30872</v>
      </c>
      <c r="H111" s="9">
        <v>30895</v>
      </c>
      <c r="I111" s="9">
        <v>30974</v>
      </c>
      <c r="J111" s="9">
        <v>24966</v>
      </c>
      <c r="K111" s="9">
        <v>25554</v>
      </c>
      <c r="L111" s="9">
        <v>25554</v>
      </c>
      <c r="M111" s="9">
        <v>25554</v>
      </c>
      <c r="N111" s="9">
        <v>25554</v>
      </c>
      <c r="O111" s="9">
        <v>26138</v>
      </c>
      <c r="P111" s="9">
        <v>27664</v>
      </c>
      <c r="Q111" s="9">
        <v>27969</v>
      </c>
      <c r="R111" s="9">
        <v>29842</v>
      </c>
      <c r="AN111" s="9">
        <f t="shared" si="397"/>
        <v>30856</v>
      </c>
      <c r="AO111" s="9">
        <f t="shared" si="398"/>
        <v>24966</v>
      </c>
      <c r="AP111" s="9">
        <f t="shared" si="399"/>
        <v>25554</v>
      </c>
      <c r="AQ111" s="9">
        <f t="shared" si="400"/>
        <v>29842</v>
      </c>
      <c r="AR111" s="96">
        <v>0</v>
      </c>
      <c r="AS111" s="96">
        <f t="shared" si="405"/>
        <v>0</v>
      </c>
      <c r="AT111" s="96">
        <f t="shared" si="405"/>
        <v>0</v>
      </c>
      <c r="AU111" s="96">
        <f t="shared" si="405"/>
        <v>0</v>
      </c>
      <c r="AV111" s="96">
        <f t="shared" si="405"/>
        <v>0</v>
      </c>
    </row>
    <row r="112" spans="2:48" outlineLevel="1" x14ac:dyDescent="0.2">
      <c r="B112" s="8" t="s">
        <v>86</v>
      </c>
      <c r="C112" s="9">
        <v>3118294</v>
      </c>
      <c r="D112" s="9">
        <v>3118294</v>
      </c>
      <c r="E112" s="9">
        <v>3118294</v>
      </c>
      <c r="F112" s="9">
        <v>3118294</v>
      </c>
      <c r="G112" s="9">
        <v>3147061</v>
      </c>
      <c r="H112" s="9">
        <v>3209934</v>
      </c>
      <c r="I112" s="9">
        <v>3309051</v>
      </c>
      <c r="J112" s="9">
        <v>3302402</v>
      </c>
      <c r="K112" s="9">
        <v>3578548</v>
      </c>
      <c r="L112" s="9">
        <v>3578548</v>
      </c>
      <c r="M112" s="9">
        <v>3578548</v>
      </c>
      <c r="N112" s="9">
        <v>3578548</v>
      </c>
      <c r="O112" s="9">
        <v>3670983</v>
      </c>
      <c r="P112" s="9">
        <v>3770997</v>
      </c>
      <c r="Q112" s="9">
        <v>3954689</v>
      </c>
      <c r="R112" s="9">
        <v>4000127</v>
      </c>
      <c r="AN112" s="9">
        <f t="shared" si="397"/>
        <v>3118294</v>
      </c>
      <c r="AO112" s="9">
        <f t="shared" si="398"/>
        <v>3302402</v>
      </c>
      <c r="AP112" s="9">
        <f t="shared" si="399"/>
        <v>3578548</v>
      </c>
      <c r="AQ112" s="9">
        <f t="shared" si="400"/>
        <v>4000127</v>
      </c>
      <c r="AR112" s="96">
        <f>AQ112</f>
        <v>4000127</v>
      </c>
      <c r="AS112" s="96">
        <f t="shared" ref="AS112:AV112" si="406">AR112</f>
        <v>4000127</v>
      </c>
      <c r="AT112" s="96">
        <f t="shared" si="406"/>
        <v>4000127</v>
      </c>
      <c r="AU112" s="96">
        <f t="shared" si="406"/>
        <v>4000127</v>
      </c>
      <c r="AV112" s="96">
        <f t="shared" si="406"/>
        <v>4000127</v>
      </c>
    </row>
    <row r="113" spans="2:48" outlineLevel="1" x14ac:dyDescent="0.2">
      <c r="B113" s="8" t="s">
        <v>87</v>
      </c>
      <c r="C113" s="9">
        <v>56716</v>
      </c>
      <c r="D113" s="9">
        <v>56716</v>
      </c>
      <c r="E113" s="9">
        <v>56716</v>
      </c>
      <c r="F113" s="9">
        <v>56716</v>
      </c>
      <c r="G113" s="9">
        <v>58283</v>
      </c>
      <c r="H113" s="9">
        <v>63010</v>
      </c>
      <c r="I113" s="9">
        <v>63798</v>
      </c>
      <c r="J113" s="9">
        <v>63158</v>
      </c>
      <c r="K113" s="9">
        <v>63082</v>
      </c>
      <c r="L113" s="9">
        <v>63082</v>
      </c>
      <c r="M113" s="9">
        <v>63082</v>
      </c>
      <c r="N113" s="9">
        <v>63082</v>
      </c>
      <c r="O113" s="9">
        <v>66866</v>
      </c>
      <c r="P113" s="9">
        <v>74599</v>
      </c>
      <c r="Q113" s="9">
        <v>113935</v>
      </c>
      <c r="R113" s="9">
        <v>113728</v>
      </c>
      <c r="AN113" s="9">
        <f t="shared" si="397"/>
        <v>56716</v>
      </c>
      <c r="AO113" s="9">
        <f t="shared" si="398"/>
        <v>63158</v>
      </c>
      <c r="AP113" s="9">
        <f t="shared" si="399"/>
        <v>63082</v>
      </c>
      <c r="AQ113" s="9">
        <f t="shared" si="400"/>
        <v>113728</v>
      </c>
      <c r="AR113" s="96">
        <f>AQ113</f>
        <v>113728</v>
      </c>
      <c r="AS113" s="96">
        <f t="shared" si="405"/>
        <v>113728</v>
      </c>
      <c r="AT113" s="96">
        <f t="shared" si="405"/>
        <v>113728</v>
      </c>
      <c r="AU113" s="96">
        <f t="shared" si="405"/>
        <v>113728</v>
      </c>
      <c r="AV113" s="96">
        <f t="shared" si="405"/>
        <v>113728</v>
      </c>
    </row>
    <row r="114" spans="2:48" outlineLevel="1" x14ac:dyDescent="0.2">
      <c r="B114" s="8" t="s">
        <v>88</v>
      </c>
      <c r="C114" s="9">
        <v>21939</v>
      </c>
      <c r="D114" s="9">
        <v>21939</v>
      </c>
      <c r="E114" s="9">
        <v>21939</v>
      </c>
      <c r="F114" s="9">
        <v>21939</v>
      </c>
      <c r="G114" s="9">
        <v>21939</v>
      </c>
      <c r="H114" s="9">
        <v>21939</v>
      </c>
      <c r="I114" s="9">
        <v>21939</v>
      </c>
      <c r="J114" s="9">
        <v>21939</v>
      </c>
      <c r="K114" s="9">
        <v>21939</v>
      </c>
      <c r="L114" s="9">
        <v>21939</v>
      </c>
      <c r="M114" s="9">
        <v>21939</v>
      </c>
      <c r="N114" s="9">
        <v>21939</v>
      </c>
      <c r="O114" s="9">
        <v>21939</v>
      </c>
      <c r="P114" s="9">
        <v>21939</v>
      </c>
      <c r="Q114" s="9">
        <v>21939</v>
      </c>
      <c r="R114" s="9">
        <v>21939</v>
      </c>
      <c r="AN114" s="9">
        <f t="shared" si="397"/>
        <v>21939</v>
      </c>
      <c r="AO114" s="9">
        <f t="shared" si="398"/>
        <v>21939</v>
      </c>
      <c r="AP114" s="9">
        <f t="shared" si="399"/>
        <v>21939</v>
      </c>
      <c r="AQ114" s="9">
        <f t="shared" si="400"/>
        <v>21939</v>
      </c>
      <c r="AR114" s="96">
        <f>AQ114</f>
        <v>21939</v>
      </c>
      <c r="AS114" s="96">
        <f t="shared" si="405"/>
        <v>21939</v>
      </c>
      <c r="AT114" s="96">
        <f t="shared" si="405"/>
        <v>21939</v>
      </c>
      <c r="AU114" s="96">
        <f t="shared" si="405"/>
        <v>21939</v>
      </c>
      <c r="AV114" s="96">
        <f t="shared" si="405"/>
        <v>21939</v>
      </c>
    </row>
    <row r="115" spans="2:48" outlineLevel="1" x14ac:dyDescent="0.2">
      <c r="B115" s="8" t="s">
        <v>89</v>
      </c>
      <c r="C115" s="10">
        <v>6652958</v>
      </c>
      <c r="D115" s="10">
        <v>6652958</v>
      </c>
      <c r="E115" s="10">
        <v>6652958</v>
      </c>
      <c r="F115" s="10">
        <v>6652958</v>
      </c>
      <c r="G115" s="10">
        <v>6467257</v>
      </c>
      <c r="H115" s="10">
        <v>6545336</v>
      </c>
      <c r="I115" s="10">
        <v>6817437</v>
      </c>
      <c r="J115" s="10">
        <v>6927504</v>
      </c>
      <c r="K115" s="10">
        <v>8044362</v>
      </c>
      <c r="L115" s="10">
        <v>8044362</v>
      </c>
      <c r="M115" s="10">
        <v>8044362</v>
      </c>
      <c r="N115" s="10">
        <v>8044362</v>
      </c>
      <c r="O115" s="10">
        <v>8411249</v>
      </c>
      <c r="P115" s="10">
        <v>8919835</v>
      </c>
      <c r="Q115" s="10">
        <v>9011670</v>
      </c>
      <c r="R115" s="10">
        <v>9204374</v>
      </c>
      <c r="AN115" s="10">
        <f t="shared" ref="AN115:AP115" si="407">SUM(AN109:AN114)+AN107</f>
        <v>6652958</v>
      </c>
      <c r="AO115" s="10">
        <f t="shared" si="407"/>
        <v>6927504</v>
      </c>
      <c r="AP115" s="10">
        <f t="shared" si="407"/>
        <v>8044362</v>
      </c>
      <c r="AQ115" s="10">
        <f>SUM(AQ109:AQ114)+AQ107</f>
        <v>9204374</v>
      </c>
      <c r="AR115" s="10">
        <f t="shared" ref="AR115:AV115" si="408">SUM(AR109:AR114)+AR107</f>
        <v>10353062.478512315</v>
      </c>
      <c r="AS115" s="10">
        <f t="shared" si="408"/>
        <v>11554852.254981389</v>
      </c>
      <c r="AT115" s="10">
        <f t="shared" si="408"/>
        <v>12928692.379847087</v>
      </c>
      <c r="AU115" s="10">
        <f t="shared" si="408"/>
        <v>14523214.245012674</v>
      </c>
      <c r="AV115" s="10">
        <f t="shared" si="408"/>
        <v>16385788.2209897</v>
      </c>
    </row>
    <row r="116" spans="2:48" ht="15" outlineLevel="1" x14ac:dyDescent="0.25">
      <c r="B116" s="19" t="s">
        <v>90</v>
      </c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AN116" s="12"/>
      <c r="AO116" s="12"/>
      <c r="AP116" s="12"/>
      <c r="AQ116" s="12"/>
    </row>
    <row r="117" spans="2:48" outlineLevel="1" x14ac:dyDescent="0.2">
      <c r="B117" s="8" t="s">
        <v>91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AN117" s="12"/>
      <c r="AO117" s="12"/>
      <c r="AP117" s="12"/>
      <c r="AQ117" s="12"/>
    </row>
    <row r="118" spans="2:48" outlineLevel="1" x14ac:dyDescent="0.2">
      <c r="B118" s="8" t="s">
        <v>92</v>
      </c>
      <c r="C118" s="10">
        <v>163161</v>
      </c>
      <c r="D118" s="10">
        <v>163161</v>
      </c>
      <c r="E118" s="10">
        <v>163161</v>
      </c>
      <c r="F118" s="10">
        <v>163161</v>
      </c>
      <c r="G118" s="10">
        <v>168905</v>
      </c>
      <c r="H118" s="10">
        <v>158581</v>
      </c>
      <c r="I118" s="10">
        <v>167842</v>
      </c>
      <c r="J118" s="10">
        <v>184566</v>
      </c>
      <c r="K118" s="10">
        <v>197646</v>
      </c>
      <c r="L118" s="10">
        <v>197646</v>
      </c>
      <c r="M118" s="10">
        <v>197646</v>
      </c>
      <c r="N118" s="10">
        <v>197646</v>
      </c>
      <c r="O118" s="10">
        <v>196866</v>
      </c>
      <c r="P118" s="10">
        <v>203480</v>
      </c>
      <c r="Q118" s="10">
        <v>221301</v>
      </c>
      <c r="R118" s="10">
        <v>210695</v>
      </c>
      <c r="AN118" s="10">
        <f t="shared" ref="AN118:AN136" si="409">F118</f>
        <v>163161</v>
      </c>
      <c r="AO118" s="10">
        <f t="shared" ref="AO118:AO136" si="410">J118</f>
        <v>184566</v>
      </c>
      <c r="AP118" s="10">
        <f t="shared" ref="AP118:AP136" si="411">N118</f>
        <v>197646</v>
      </c>
      <c r="AQ118" s="10">
        <f t="shared" ref="AQ118:AQ136" si="412">R118</f>
        <v>210695</v>
      </c>
      <c r="AR118" s="17">
        <f>AR201</f>
        <v>248631.39439194626</v>
      </c>
      <c r="AS118" s="17">
        <f t="shared" ref="AS118:AV118" si="413">AS201</f>
        <v>275498.91728796461</v>
      </c>
      <c r="AT118" s="17">
        <f t="shared" si="413"/>
        <v>300380.43000032014</v>
      </c>
      <c r="AU118" s="17">
        <f t="shared" si="413"/>
        <v>323981.0137011889</v>
      </c>
      <c r="AV118" s="17">
        <f t="shared" si="413"/>
        <v>353611.69244358822</v>
      </c>
    </row>
    <row r="119" spans="2:48" outlineLevel="1" x14ac:dyDescent="0.2">
      <c r="B119" s="8" t="s">
        <v>93</v>
      </c>
      <c r="C119" s="9">
        <v>162405</v>
      </c>
      <c r="D119" s="9">
        <v>162405</v>
      </c>
      <c r="E119" s="9">
        <v>162405</v>
      </c>
      <c r="F119" s="9">
        <v>162405</v>
      </c>
      <c r="G119" s="9">
        <v>172454</v>
      </c>
      <c r="H119" s="9">
        <v>161052</v>
      </c>
      <c r="I119" s="9">
        <v>128495</v>
      </c>
      <c r="J119" s="9">
        <v>170456</v>
      </c>
      <c r="K119" s="9">
        <v>227537</v>
      </c>
      <c r="L119" s="9">
        <v>227537</v>
      </c>
      <c r="M119" s="9">
        <v>227537</v>
      </c>
      <c r="N119" s="9">
        <v>227537</v>
      </c>
      <c r="O119" s="9">
        <v>142425</v>
      </c>
      <c r="P119" s="9">
        <v>223410</v>
      </c>
      <c r="Q119" s="9">
        <v>184367</v>
      </c>
      <c r="R119" s="9">
        <v>261913</v>
      </c>
      <c r="AN119" s="9">
        <f t="shared" si="409"/>
        <v>162405</v>
      </c>
      <c r="AO119" s="9">
        <f t="shared" si="410"/>
        <v>170456</v>
      </c>
      <c r="AP119" s="9">
        <f t="shared" si="411"/>
        <v>227537</v>
      </c>
      <c r="AQ119" s="9">
        <f t="shared" si="412"/>
        <v>261913</v>
      </c>
      <c r="AR119" s="9">
        <f>AR203</f>
        <v>270886.09425413574</v>
      </c>
      <c r="AS119" s="9">
        <f t="shared" ref="AS119:AV119" si="414">AS203</f>
        <v>297123.56896411575</v>
      </c>
      <c r="AT119" s="9">
        <f t="shared" si="414"/>
        <v>324706.07089342672</v>
      </c>
      <c r="AU119" s="9">
        <f t="shared" si="414"/>
        <v>353353.70015769283</v>
      </c>
      <c r="AV119" s="9">
        <f t="shared" si="414"/>
        <v>386739.91002191039</v>
      </c>
    </row>
    <row r="120" spans="2:48" outlineLevel="1" x14ac:dyDescent="0.2">
      <c r="B120" s="8" t="s">
        <v>94</v>
      </c>
      <c r="C120" s="9">
        <v>173052</v>
      </c>
      <c r="D120" s="9">
        <v>173052</v>
      </c>
      <c r="E120" s="9">
        <v>173052</v>
      </c>
      <c r="F120" s="9">
        <v>173052</v>
      </c>
      <c r="G120" s="9">
        <v>136655</v>
      </c>
      <c r="H120" s="9">
        <v>148614</v>
      </c>
      <c r="I120" s="9">
        <v>156455</v>
      </c>
      <c r="J120" s="9">
        <v>147539</v>
      </c>
      <c r="K120" s="9">
        <v>147688</v>
      </c>
      <c r="L120" s="9">
        <v>147688</v>
      </c>
      <c r="M120" s="9">
        <v>147688</v>
      </c>
      <c r="N120" s="9">
        <v>147688</v>
      </c>
      <c r="O120" s="9">
        <v>171612</v>
      </c>
      <c r="P120" s="9">
        <v>169631</v>
      </c>
      <c r="Q120" s="9">
        <v>181354</v>
      </c>
      <c r="R120" s="9">
        <v>179747</v>
      </c>
      <c r="AN120" s="9">
        <f t="shared" si="409"/>
        <v>173052</v>
      </c>
      <c r="AO120" s="9">
        <f t="shared" si="410"/>
        <v>147539</v>
      </c>
      <c r="AP120" s="9">
        <f t="shared" si="411"/>
        <v>147688</v>
      </c>
      <c r="AQ120" s="9">
        <f t="shared" si="412"/>
        <v>179747</v>
      </c>
      <c r="AR120" s="9">
        <f>AR205</f>
        <v>219488.28728961843</v>
      </c>
      <c r="AS120" s="9">
        <f>AS205</f>
        <v>240747.47522525114</v>
      </c>
      <c r="AT120" s="9">
        <f>AT205</f>
        <v>263096.48551423033</v>
      </c>
      <c r="AU120" s="9">
        <f>AU205</f>
        <v>286308.52635167073</v>
      </c>
      <c r="AV120" s="9">
        <f>AV205</f>
        <v>313360.05161495763</v>
      </c>
    </row>
    <row r="121" spans="2:48" outlineLevel="1" x14ac:dyDescent="0.2">
      <c r="B121" s="8" t="s">
        <v>95</v>
      </c>
      <c r="C121" s="9">
        <v>156351</v>
      </c>
      <c r="D121" s="9">
        <v>156351</v>
      </c>
      <c r="E121" s="9">
        <v>156351</v>
      </c>
      <c r="F121" s="9">
        <v>156351</v>
      </c>
      <c r="G121" s="9">
        <v>132421</v>
      </c>
      <c r="H121" s="9">
        <v>132446</v>
      </c>
      <c r="I121" s="9">
        <v>133118</v>
      </c>
      <c r="J121" s="9">
        <v>183071</v>
      </c>
      <c r="K121" s="9">
        <v>209680</v>
      </c>
      <c r="L121" s="9">
        <v>209680</v>
      </c>
      <c r="M121" s="9">
        <v>209680</v>
      </c>
      <c r="N121" s="9">
        <v>209680</v>
      </c>
      <c r="O121" s="9">
        <v>187317</v>
      </c>
      <c r="P121" s="9">
        <v>182331</v>
      </c>
      <c r="Q121" s="9">
        <v>180288</v>
      </c>
      <c r="R121" s="9">
        <v>238577</v>
      </c>
      <c r="AN121" s="9">
        <f t="shared" si="409"/>
        <v>156351</v>
      </c>
      <c r="AO121" s="9">
        <f t="shared" si="410"/>
        <v>183071</v>
      </c>
      <c r="AP121" s="9">
        <f t="shared" si="411"/>
        <v>209680</v>
      </c>
      <c r="AQ121" s="9">
        <f t="shared" si="412"/>
        <v>238577</v>
      </c>
      <c r="AR121" s="9">
        <f>AR207</f>
        <v>260935.40001713327</v>
      </c>
      <c r="AS121" s="9">
        <f>AS207</f>
        <v>286209.07077435235</v>
      </c>
      <c r="AT121" s="9">
        <f>AT207</f>
        <v>312778.36069754016</v>
      </c>
      <c r="AU121" s="9">
        <f>AU207</f>
        <v>340373.65170794126</v>
      </c>
      <c r="AV121" s="9">
        <f>AV207</f>
        <v>372533.45692039566</v>
      </c>
    </row>
    <row r="122" spans="2:48" outlineLevel="1" x14ac:dyDescent="0.2">
      <c r="B122" s="8" t="s">
        <v>96</v>
      </c>
      <c r="C122" s="9">
        <v>218713</v>
      </c>
      <c r="D122" s="9">
        <v>218713</v>
      </c>
      <c r="E122" s="9">
        <v>218713</v>
      </c>
      <c r="F122" s="9">
        <v>218713</v>
      </c>
      <c r="G122" s="9">
        <v>223303</v>
      </c>
      <c r="H122" s="9">
        <v>230930</v>
      </c>
      <c r="I122" s="9">
        <v>231947</v>
      </c>
      <c r="J122" s="9">
        <v>236248</v>
      </c>
      <c r="K122" s="9">
        <v>248074</v>
      </c>
      <c r="L122" s="9">
        <v>248074</v>
      </c>
      <c r="M122" s="9">
        <v>248074</v>
      </c>
      <c r="N122" s="9">
        <v>248074</v>
      </c>
      <c r="O122" s="9">
        <v>254144</v>
      </c>
      <c r="P122" s="9">
        <v>264304</v>
      </c>
      <c r="Q122" s="9">
        <v>270574</v>
      </c>
      <c r="R122" s="9">
        <v>277836</v>
      </c>
      <c r="AN122" s="9">
        <f t="shared" si="409"/>
        <v>218713</v>
      </c>
      <c r="AO122" s="9">
        <f t="shared" si="410"/>
        <v>236248</v>
      </c>
      <c r="AP122" s="9">
        <f t="shared" si="411"/>
        <v>248074</v>
      </c>
      <c r="AQ122" s="9">
        <f t="shared" si="412"/>
        <v>277836</v>
      </c>
      <c r="AR122" s="96">
        <f>AQ122</f>
        <v>277836</v>
      </c>
      <c r="AS122" s="96">
        <f t="shared" ref="AS122:AV122" si="415">AR122</f>
        <v>277836</v>
      </c>
      <c r="AT122" s="96">
        <f t="shared" si="415"/>
        <v>277836</v>
      </c>
      <c r="AU122" s="96">
        <f t="shared" si="415"/>
        <v>277836</v>
      </c>
      <c r="AV122" s="96">
        <f t="shared" si="415"/>
        <v>277836</v>
      </c>
    </row>
    <row r="123" spans="2:48" outlineLevel="1" x14ac:dyDescent="0.2">
      <c r="B123" s="8" t="s">
        <v>97</v>
      </c>
      <c r="C123" s="9">
        <v>873682</v>
      </c>
      <c r="D123" s="9">
        <v>873682</v>
      </c>
      <c r="E123" s="9">
        <v>873682</v>
      </c>
      <c r="F123" s="9">
        <v>873682</v>
      </c>
      <c r="G123" s="9">
        <v>833738</v>
      </c>
      <c r="H123" s="9">
        <v>831623</v>
      </c>
      <c r="I123" s="9">
        <v>817857</v>
      </c>
      <c r="J123" s="9">
        <v>921880</v>
      </c>
      <c r="K123" s="9">
        <v>1030625</v>
      </c>
      <c r="L123" s="9">
        <v>1030625</v>
      </c>
      <c r="M123" s="9">
        <v>1030625</v>
      </c>
      <c r="N123" s="9">
        <v>1030625</v>
      </c>
      <c r="O123" s="9">
        <f>997353+44989</f>
        <v>1042342</v>
      </c>
      <c r="P123" s="9">
        <v>1043156</v>
      </c>
      <c r="Q123" s="9">
        <v>1037884</v>
      </c>
      <c r="R123" s="9">
        <v>1168768</v>
      </c>
      <c r="AN123" s="9">
        <f>SUM(AN118:AN122)</f>
        <v>873682</v>
      </c>
      <c r="AO123" s="9">
        <f t="shared" ref="AO123:AQ123" si="416">SUM(AO118:AO122)</f>
        <v>921880</v>
      </c>
      <c r="AP123" s="9">
        <f t="shared" si="416"/>
        <v>1030625</v>
      </c>
      <c r="AQ123" s="9">
        <f t="shared" si="416"/>
        <v>1168768</v>
      </c>
      <c r="AR123" s="9">
        <f t="shared" ref="AR123" si="417">SUM(AR118:AR122)</f>
        <v>1277777.1759528336</v>
      </c>
      <c r="AS123" s="9">
        <f t="shared" ref="AS123" si="418">SUM(AS118:AS122)</f>
        <v>1377415.032251684</v>
      </c>
      <c r="AT123" s="9">
        <f t="shared" ref="AT123" si="419">SUM(AT118:AT122)</f>
        <v>1478797.3471055173</v>
      </c>
      <c r="AU123" s="9">
        <f t="shared" ref="AU123" si="420">SUM(AU118:AU122)</f>
        <v>1581852.8919184937</v>
      </c>
      <c r="AV123" s="9">
        <f t="shared" ref="AV123" si="421">SUM(AV118:AV122)</f>
        <v>1704081.1110008517</v>
      </c>
    </row>
    <row r="124" spans="2:48" outlineLevel="1" x14ac:dyDescent="0.2">
      <c r="B124" s="8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AN124" s="9"/>
      <c r="AO124" s="9"/>
      <c r="AP124" s="9"/>
      <c r="AQ124" s="9"/>
    </row>
    <row r="125" spans="2:48" outlineLevel="1" x14ac:dyDescent="0.2">
      <c r="B125" s="8" t="s">
        <v>98</v>
      </c>
      <c r="C125" s="9">
        <v>3301601</v>
      </c>
      <c r="D125" s="9">
        <v>3301601</v>
      </c>
      <c r="E125" s="9">
        <v>3301601</v>
      </c>
      <c r="F125" s="9">
        <v>3301601</v>
      </c>
      <c r="G125" s="9">
        <v>3331319</v>
      </c>
      <c r="H125" s="9">
        <v>3393423</v>
      </c>
      <c r="I125" s="9">
        <v>3497221</v>
      </c>
      <c r="J125" s="9">
        <v>3495162</v>
      </c>
      <c r="K125" s="9">
        <v>3803551</v>
      </c>
      <c r="L125" s="9">
        <v>3803551</v>
      </c>
      <c r="M125" s="9">
        <v>3803551</v>
      </c>
      <c r="N125" s="9">
        <v>3803551</v>
      </c>
      <c r="O125" s="9">
        <v>3903353</v>
      </c>
      <c r="P125" s="9">
        <v>4014454</v>
      </c>
      <c r="Q125" s="9">
        <v>4212868</v>
      </c>
      <c r="R125" s="9">
        <v>4262782</v>
      </c>
      <c r="AN125" s="9">
        <f t="shared" si="409"/>
        <v>3301601</v>
      </c>
      <c r="AO125" s="9">
        <f t="shared" si="410"/>
        <v>3495162</v>
      </c>
      <c r="AP125" s="9">
        <f t="shared" si="411"/>
        <v>3803551</v>
      </c>
      <c r="AQ125" s="9">
        <f t="shared" si="412"/>
        <v>4262782</v>
      </c>
      <c r="AR125" s="96">
        <f>AQ125</f>
        <v>4262782</v>
      </c>
      <c r="AS125" s="96">
        <f t="shared" ref="AS125:AV125" si="422">AR125</f>
        <v>4262782</v>
      </c>
      <c r="AT125" s="96">
        <f t="shared" si="422"/>
        <v>4262782</v>
      </c>
      <c r="AU125" s="96">
        <f t="shared" si="422"/>
        <v>4262782</v>
      </c>
      <c r="AV125" s="96">
        <f t="shared" si="422"/>
        <v>4262782</v>
      </c>
    </row>
    <row r="126" spans="2:48" outlineLevel="1" x14ac:dyDescent="0.2">
      <c r="B126" s="8" t="s">
        <v>99</v>
      </c>
      <c r="C126" s="9">
        <v>141765</v>
      </c>
      <c r="D126" s="9">
        <v>141765</v>
      </c>
      <c r="E126" s="9">
        <v>141765</v>
      </c>
      <c r="F126" s="9">
        <v>141765</v>
      </c>
      <c r="G126" s="9">
        <v>127729</v>
      </c>
      <c r="H126" s="9">
        <v>126239</v>
      </c>
      <c r="I126" s="9">
        <v>133255</v>
      </c>
      <c r="J126" s="9">
        <v>98623</v>
      </c>
      <c r="K126" s="9">
        <v>89109</v>
      </c>
      <c r="L126" s="9">
        <v>89109</v>
      </c>
      <c r="M126" s="9">
        <v>89109</v>
      </c>
      <c r="N126" s="9">
        <v>89109</v>
      </c>
      <c r="O126" s="9">
        <v>84229</v>
      </c>
      <c r="P126" s="9">
        <v>83298</v>
      </c>
      <c r="Q126" s="9">
        <v>79519</v>
      </c>
      <c r="R126" s="9">
        <v>46208</v>
      </c>
      <c r="AN126" s="9">
        <f t="shared" si="409"/>
        <v>141765</v>
      </c>
      <c r="AO126" s="9">
        <f t="shared" si="410"/>
        <v>98623</v>
      </c>
      <c r="AP126" s="9">
        <f t="shared" si="411"/>
        <v>89109</v>
      </c>
      <c r="AQ126" s="9">
        <f t="shared" si="412"/>
        <v>46208</v>
      </c>
      <c r="AR126" s="96">
        <f>AQ126</f>
        <v>46208</v>
      </c>
      <c r="AS126" s="96">
        <f t="shared" ref="AS126:AV127" si="423">AR126</f>
        <v>46208</v>
      </c>
      <c r="AT126" s="96">
        <f t="shared" si="423"/>
        <v>46208</v>
      </c>
      <c r="AU126" s="96">
        <f t="shared" si="423"/>
        <v>46208</v>
      </c>
      <c r="AV126" s="96">
        <f t="shared" si="423"/>
        <v>46208</v>
      </c>
    </row>
    <row r="127" spans="2:48" outlineLevel="1" x14ac:dyDescent="0.2">
      <c r="B127" s="8" t="s">
        <v>100</v>
      </c>
      <c r="C127" s="9">
        <v>38536</v>
      </c>
      <c r="D127" s="9">
        <v>38536</v>
      </c>
      <c r="E127" s="9">
        <v>38536</v>
      </c>
      <c r="F127" s="9">
        <v>38536</v>
      </c>
      <c r="G127" s="9">
        <v>40511</v>
      </c>
      <c r="H127" s="9">
        <v>39852</v>
      </c>
      <c r="I127" s="9">
        <v>41723</v>
      </c>
      <c r="J127" s="9">
        <v>43816</v>
      </c>
      <c r="K127" s="9">
        <v>58870</v>
      </c>
      <c r="L127" s="9">
        <v>58870</v>
      </c>
      <c r="M127" s="9">
        <v>58870</v>
      </c>
      <c r="N127" s="9">
        <v>58870</v>
      </c>
      <c r="O127" s="9">
        <v>64985</v>
      </c>
      <c r="P127" s="9">
        <v>67107</v>
      </c>
      <c r="Q127" s="9">
        <v>67501</v>
      </c>
      <c r="R127" s="9">
        <v>71070</v>
      </c>
      <c r="AN127" s="9">
        <f t="shared" si="409"/>
        <v>38536</v>
      </c>
      <c r="AO127" s="9">
        <f t="shared" si="410"/>
        <v>43816</v>
      </c>
      <c r="AP127" s="9">
        <f t="shared" si="411"/>
        <v>58870</v>
      </c>
      <c r="AQ127" s="9">
        <f t="shared" si="412"/>
        <v>71070</v>
      </c>
      <c r="AR127" s="96">
        <f>AQ127</f>
        <v>71070</v>
      </c>
      <c r="AS127" s="96">
        <f t="shared" si="423"/>
        <v>71070</v>
      </c>
      <c r="AT127" s="96">
        <f t="shared" si="423"/>
        <v>71070</v>
      </c>
      <c r="AU127" s="96">
        <f t="shared" si="423"/>
        <v>71070</v>
      </c>
      <c r="AV127" s="96">
        <f t="shared" si="423"/>
        <v>71070</v>
      </c>
    </row>
    <row r="128" spans="2:48" outlineLevel="1" x14ac:dyDescent="0.2">
      <c r="B128" s="8" t="s">
        <v>101</v>
      </c>
      <c r="C128" s="9">
        <v>4355584</v>
      </c>
      <c r="D128" s="9">
        <v>4355584</v>
      </c>
      <c r="E128" s="9">
        <v>4355584</v>
      </c>
      <c r="F128" s="9">
        <v>4355584</v>
      </c>
      <c r="G128" s="9">
        <v>4333297</v>
      </c>
      <c r="H128" s="9">
        <v>4391137</v>
      </c>
      <c r="I128" s="9">
        <v>4490056</v>
      </c>
      <c r="J128" s="9">
        <v>4559481</v>
      </c>
      <c r="K128" s="9">
        <v>4982155</v>
      </c>
      <c r="L128" s="9">
        <v>4982155</v>
      </c>
      <c r="M128" s="9">
        <v>4982155</v>
      </c>
      <c r="N128" s="9">
        <v>4982155</v>
      </c>
      <c r="O128" s="9">
        <v>5049920</v>
      </c>
      <c r="P128" s="9">
        <v>5208015</v>
      </c>
      <c r="Q128" s="9">
        <v>5397772</v>
      </c>
      <c r="R128" s="9">
        <v>5548828</v>
      </c>
      <c r="AN128" s="9">
        <f t="shared" ref="AN128:AP128" si="424">SUM(AN125:AN127)+AN123</f>
        <v>4355584</v>
      </c>
      <c r="AO128" s="9">
        <f t="shared" si="424"/>
        <v>4559481</v>
      </c>
      <c r="AP128" s="9">
        <f t="shared" si="424"/>
        <v>4982155</v>
      </c>
      <c r="AQ128" s="9">
        <f>SUM(AQ125:AQ127)+AQ123</f>
        <v>5548828</v>
      </c>
      <c r="AR128" s="9">
        <f t="shared" ref="AR128:AV128" si="425">SUM(AR125:AR127)+AR123</f>
        <v>5657837.1759528331</v>
      </c>
      <c r="AS128" s="9">
        <f t="shared" si="425"/>
        <v>5757475.032251684</v>
      </c>
      <c r="AT128" s="9">
        <f t="shared" si="425"/>
        <v>5858857.3471055171</v>
      </c>
      <c r="AU128" s="9">
        <f t="shared" si="425"/>
        <v>5961912.8919184934</v>
      </c>
      <c r="AV128" s="9">
        <f t="shared" si="425"/>
        <v>6084141.1110008517</v>
      </c>
    </row>
    <row r="129" spans="2:48" outlineLevel="1" x14ac:dyDescent="0.2">
      <c r="B129" s="8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AN129" s="9"/>
      <c r="AO129" s="9"/>
      <c r="AP129" s="9"/>
      <c r="AQ129" s="9"/>
    </row>
    <row r="130" spans="2:48" outlineLevel="1" x14ac:dyDescent="0.2">
      <c r="B130" s="8" t="s">
        <v>102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AN130" s="12">
        <f t="shared" si="409"/>
        <v>0</v>
      </c>
      <c r="AO130" s="12">
        <f t="shared" si="410"/>
        <v>0</v>
      </c>
      <c r="AP130" s="12">
        <f t="shared" si="411"/>
        <v>0</v>
      </c>
      <c r="AQ130" s="12">
        <f t="shared" si="412"/>
        <v>0</v>
      </c>
      <c r="AR130" s="12">
        <v>0</v>
      </c>
      <c r="AS130" s="12">
        <v>0</v>
      </c>
      <c r="AT130" s="12">
        <v>0</v>
      </c>
      <c r="AU130" s="12">
        <v>0</v>
      </c>
      <c r="AV130" s="12">
        <v>0</v>
      </c>
    </row>
    <row r="131" spans="2:48" outlineLevel="1" x14ac:dyDescent="0.2">
      <c r="B131" s="8" t="s">
        <v>103</v>
      </c>
      <c r="C131" s="9">
        <v>0</v>
      </c>
      <c r="D131" s="9">
        <v>0</v>
      </c>
      <c r="E131" s="9">
        <v>0</v>
      </c>
      <c r="F131" s="9">
        <v>0</v>
      </c>
      <c r="G131" s="9">
        <v>0</v>
      </c>
      <c r="H131" s="9">
        <v>0</v>
      </c>
      <c r="I131" s="9">
        <v>0</v>
      </c>
      <c r="J131" s="9">
        <v>0</v>
      </c>
      <c r="K131" s="9">
        <v>0</v>
      </c>
      <c r="L131" s="9">
        <v>0</v>
      </c>
      <c r="M131" s="9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AN131" s="9">
        <f t="shared" si="409"/>
        <v>0</v>
      </c>
      <c r="AO131" s="9">
        <f t="shared" si="410"/>
        <v>0</v>
      </c>
      <c r="AP131" s="9">
        <f t="shared" si="411"/>
        <v>0</v>
      </c>
      <c r="AQ131" s="9">
        <f t="shared" si="412"/>
        <v>0</v>
      </c>
      <c r="AR131" s="12">
        <v>0</v>
      </c>
      <c r="AS131" s="12">
        <v>0</v>
      </c>
      <c r="AT131" s="12">
        <v>0</v>
      </c>
      <c r="AU131" s="12">
        <v>0</v>
      </c>
      <c r="AV131" s="12">
        <v>0</v>
      </c>
    </row>
    <row r="132" spans="2:48" outlineLevel="1" x14ac:dyDescent="0.2">
      <c r="B132" s="8" t="s">
        <v>104</v>
      </c>
      <c r="C132" s="9">
        <v>371</v>
      </c>
      <c r="D132" s="9">
        <v>371</v>
      </c>
      <c r="E132" s="9">
        <v>371</v>
      </c>
      <c r="F132" s="9">
        <v>371</v>
      </c>
      <c r="G132" s="9">
        <v>373</v>
      </c>
      <c r="H132" s="9">
        <v>373</v>
      </c>
      <c r="I132" s="9">
        <v>373</v>
      </c>
      <c r="J132" s="9">
        <v>373</v>
      </c>
      <c r="K132" s="9">
        <v>375</v>
      </c>
      <c r="L132" s="9">
        <v>18741</v>
      </c>
      <c r="M132" s="9">
        <v>18741</v>
      </c>
      <c r="N132" s="9">
        <v>18741</v>
      </c>
      <c r="O132" s="9">
        <v>376</v>
      </c>
      <c r="P132" s="9">
        <v>13713</v>
      </c>
      <c r="Q132" s="9">
        <v>13635</v>
      </c>
      <c r="R132" s="9">
        <v>13586</v>
      </c>
      <c r="AN132" s="9">
        <f t="shared" si="409"/>
        <v>371</v>
      </c>
      <c r="AO132" s="9">
        <f t="shared" si="410"/>
        <v>373</v>
      </c>
      <c r="AP132" s="9">
        <f t="shared" si="411"/>
        <v>18741</v>
      </c>
      <c r="AQ132" s="9">
        <f t="shared" si="412"/>
        <v>13586</v>
      </c>
      <c r="AR132" s="96">
        <f>AQ132</f>
        <v>13586</v>
      </c>
      <c r="AS132" s="96">
        <f t="shared" ref="AS132:AV135" si="426">AR132</f>
        <v>13586</v>
      </c>
      <c r="AT132" s="96">
        <f t="shared" si="426"/>
        <v>13586</v>
      </c>
      <c r="AU132" s="96">
        <f t="shared" si="426"/>
        <v>13586</v>
      </c>
      <c r="AV132" s="96">
        <f t="shared" si="426"/>
        <v>13586</v>
      </c>
    </row>
    <row r="133" spans="2:48" outlineLevel="1" x14ac:dyDescent="0.2">
      <c r="B133" s="8" t="s">
        <v>105</v>
      </c>
      <c r="C133" s="9">
        <v>1729312</v>
      </c>
      <c r="D133" s="9">
        <v>1729312</v>
      </c>
      <c r="E133" s="9">
        <v>1729312</v>
      </c>
      <c r="F133" s="9">
        <v>1729312</v>
      </c>
      <c r="G133" s="9">
        <v>1753328</v>
      </c>
      <c r="H133" s="9">
        <v>1782303</v>
      </c>
      <c r="I133" s="9">
        <v>1807938</v>
      </c>
      <c r="J133" s="9">
        <v>1829304</v>
      </c>
      <c r="K133" s="9">
        <v>1956160</v>
      </c>
      <c r="L133" s="9">
        <v>1937794</v>
      </c>
      <c r="M133" s="9">
        <v>1937794</v>
      </c>
      <c r="N133" s="9">
        <v>1937794</v>
      </c>
      <c r="O133" s="9">
        <v>1994950</v>
      </c>
      <c r="P133" s="9">
        <v>2023802</v>
      </c>
      <c r="Q133" s="9">
        <v>2030178</v>
      </c>
      <c r="R133" s="9">
        <v>2078010</v>
      </c>
      <c r="AN133" s="9">
        <f t="shared" si="409"/>
        <v>1729312</v>
      </c>
      <c r="AO133" s="9">
        <f t="shared" si="410"/>
        <v>1829304</v>
      </c>
      <c r="AP133" s="9">
        <f t="shared" si="411"/>
        <v>1937794</v>
      </c>
      <c r="AQ133" s="9">
        <f t="shared" si="412"/>
        <v>2078010</v>
      </c>
      <c r="AR133" s="9">
        <f>AQ133+AR238+AR174</f>
        <v>1760537.5501097278</v>
      </c>
      <c r="AS133" s="9">
        <f t="shared" ref="AS133:AV133" si="427">AR133+AS238+AS174</f>
        <v>1460744.3465206176</v>
      </c>
      <c r="AT133" s="9">
        <f t="shared" si="427"/>
        <v>1179536.6909158595</v>
      </c>
      <c r="AU133" s="9">
        <f t="shared" si="427"/>
        <v>917632.28378701839</v>
      </c>
      <c r="AV133" s="9">
        <f t="shared" si="427"/>
        <v>678224.05945686973</v>
      </c>
    </row>
    <row r="134" spans="2:48" outlineLevel="1" x14ac:dyDescent="0.2">
      <c r="B134" s="8" t="s">
        <v>106</v>
      </c>
      <c r="C134" s="9">
        <v>-3356102</v>
      </c>
      <c r="D134" s="9">
        <v>-3356102</v>
      </c>
      <c r="E134" s="9">
        <v>-3356102</v>
      </c>
      <c r="F134" s="9">
        <v>-3356102</v>
      </c>
      <c r="G134" s="9">
        <v>-3702023</v>
      </c>
      <c r="H134" s="9">
        <v>-3969221</v>
      </c>
      <c r="I134" s="9">
        <v>-4076555</v>
      </c>
      <c r="J134" s="9">
        <v>-4282014</v>
      </c>
      <c r="K134" s="9">
        <v>-4944656</v>
      </c>
      <c r="L134" s="9">
        <v>-4944656</v>
      </c>
      <c r="M134" s="9">
        <v>-4944656</v>
      </c>
      <c r="N134" s="9">
        <v>-4944656</v>
      </c>
      <c r="O134" s="9">
        <v>-5042319</v>
      </c>
      <c r="P134" s="9">
        <v>0</v>
      </c>
      <c r="Q134" s="9">
        <v>0</v>
      </c>
      <c r="R134" s="9">
        <v>0</v>
      </c>
      <c r="AN134" s="9">
        <f t="shared" si="409"/>
        <v>-3356102</v>
      </c>
      <c r="AO134" s="9">
        <f t="shared" si="410"/>
        <v>-4282014</v>
      </c>
      <c r="AP134" s="9">
        <f t="shared" si="411"/>
        <v>-4944656</v>
      </c>
      <c r="AQ134" s="9">
        <f t="shared" si="412"/>
        <v>0</v>
      </c>
      <c r="AR134" s="9">
        <v>0</v>
      </c>
      <c r="AS134" s="9">
        <f t="shared" si="426"/>
        <v>0</v>
      </c>
      <c r="AT134" s="9">
        <f t="shared" si="426"/>
        <v>0</v>
      </c>
      <c r="AU134" s="9">
        <f t="shared" si="426"/>
        <v>0</v>
      </c>
      <c r="AV134" s="9">
        <f t="shared" si="426"/>
        <v>0</v>
      </c>
    </row>
    <row r="135" spans="2:48" outlineLevel="1" x14ac:dyDescent="0.2">
      <c r="B135" s="8" t="s">
        <v>107</v>
      </c>
      <c r="C135" s="9">
        <v>-5354</v>
      </c>
      <c r="D135" s="9">
        <v>-5354</v>
      </c>
      <c r="E135" s="9">
        <v>-5354</v>
      </c>
      <c r="F135" s="9">
        <v>-5354</v>
      </c>
      <c r="G135" s="9">
        <v>-5159</v>
      </c>
      <c r="H135" s="9">
        <v>-6639</v>
      </c>
      <c r="I135" s="9">
        <v>-8896</v>
      </c>
      <c r="J135" s="9">
        <v>-7888</v>
      </c>
      <c r="K135" s="9">
        <v>-6657</v>
      </c>
      <c r="L135" s="9">
        <v>-6657</v>
      </c>
      <c r="M135" s="9">
        <v>-6657</v>
      </c>
      <c r="N135" s="9">
        <v>-6657</v>
      </c>
      <c r="O135" s="9">
        <v>-7950</v>
      </c>
      <c r="P135" s="9">
        <v>-8514</v>
      </c>
      <c r="Q135" s="9">
        <v>-7440</v>
      </c>
      <c r="R135" s="9">
        <v>-10282</v>
      </c>
      <c r="AN135" s="9">
        <f t="shared" si="409"/>
        <v>-5354</v>
      </c>
      <c r="AO135" s="9">
        <f t="shared" si="410"/>
        <v>-7888</v>
      </c>
      <c r="AP135" s="9">
        <f t="shared" si="411"/>
        <v>-6657</v>
      </c>
      <c r="AQ135" s="9">
        <f t="shared" si="412"/>
        <v>-10282</v>
      </c>
      <c r="AR135" s="96">
        <f>AQ135</f>
        <v>-10282</v>
      </c>
      <c r="AS135" s="96">
        <f t="shared" si="426"/>
        <v>-10282</v>
      </c>
      <c r="AT135" s="96">
        <f t="shared" si="426"/>
        <v>-10282</v>
      </c>
      <c r="AU135" s="96">
        <f t="shared" si="426"/>
        <v>-10282</v>
      </c>
      <c r="AV135" s="96">
        <f t="shared" si="426"/>
        <v>-10282</v>
      </c>
    </row>
    <row r="136" spans="2:48" outlineLevel="1" x14ac:dyDescent="0.2">
      <c r="B136" s="8" t="s">
        <v>108</v>
      </c>
      <c r="C136" s="9">
        <v>3929147</v>
      </c>
      <c r="D136" s="9">
        <v>3929147</v>
      </c>
      <c r="E136" s="9">
        <v>3929147</v>
      </c>
      <c r="F136" s="9">
        <v>3929147</v>
      </c>
      <c r="G136" s="9">
        <v>4087441</v>
      </c>
      <c r="H136" s="9">
        <v>4347383</v>
      </c>
      <c r="I136" s="9">
        <v>4604521</v>
      </c>
      <c r="J136" s="9">
        <v>4828248</v>
      </c>
      <c r="K136" s="9">
        <v>6056985</v>
      </c>
      <c r="L136" s="9">
        <v>6056985</v>
      </c>
      <c r="M136" s="9">
        <v>6056985</v>
      </c>
      <c r="N136" s="9">
        <v>6056985</v>
      </c>
      <c r="O136" s="9">
        <v>6416272</v>
      </c>
      <c r="P136" s="9">
        <v>1682819</v>
      </c>
      <c r="Q136" s="9">
        <v>1577525</v>
      </c>
      <c r="R136" s="9">
        <v>1574232</v>
      </c>
      <c r="AN136" s="9">
        <f t="shared" si="409"/>
        <v>3929147</v>
      </c>
      <c r="AO136" s="9">
        <f t="shared" si="410"/>
        <v>4828248</v>
      </c>
      <c r="AP136" s="9">
        <f t="shared" si="411"/>
        <v>6056985</v>
      </c>
      <c r="AQ136" s="9">
        <f t="shared" si="412"/>
        <v>1574232</v>
      </c>
      <c r="AR136" s="9">
        <f>AQ136+AR65</f>
        <v>2931383.7524497528</v>
      </c>
      <c r="AS136" s="9">
        <f t="shared" ref="AS136:AV136" si="428">AR136+AS65</f>
        <v>4333328.8762090867</v>
      </c>
      <c r="AT136" s="9">
        <f t="shared" si="428"/>
        <v>5886994.3418257078</v>
      </c>
      <c r="AU136" s="9">
        <f t="shared" si="428"/>
        <v>7640365.0693071615</v>
      </c>
      <c r="AV136" s="9">
        <f t="shared" si="428"/>
        <v>9620119.0505319778</v>
      </c>
    </row>
    <row r="137" spans="2:48" outlineLevel="1" x14ac:dyDescent="0.2">
      <c r="B137" s="8" t="s">
        <v>109</v>
      </c>
      <c r="C137" s="9">
        <v>2297374</v>
      </c>
      <c r="D137" s="9">
        <v>2297374</v>
      </c>
      <c r="E137" s="9">
        <v>2297374</v>
      </c>
      <c r="F137" s="9">
        <v>2297374</v>
      </c>
      <c r="G137" s="9">
        <v>2133960</v>
      </c>
      <c r="H137" s="9">
        <v>2154199</v>
      </c>
      <c r="I137" s="9">
        <v>2327381</v>
      </c>
      <c r="J137" s="9">
        <v>2368023</v>
      </c>
      <c r="K137" s="9">
        <v>3062207</v>
      </c>
      <c r="L137" s="9">
        <v>3062207</v>
      </c>
      <c r="M137" s="9">
        <v>3062207</v>
      </c>
      <c r="N137" s="9">
        <v>3062207</v>
      </c>
      <c r="O137" s="9">
        <v>3361329</v>
      </c>
      <c r="P137" s="9">
        <v>3711820</v>
      </c>
      <c r="Q137" s="9">
        <v>3613898</v>
      </c>
      <c r="R137" s="9">
        <v>3655546</v>
      </c>
      <c r="AN137" s="9">
        <f>SUM(AN130:AN136)</f>
        <v>2297374</v>
      </c>
      <c r="AO137" s="9">
        <f t="shared" ref="AO137:AQ137" si="429">SUM(AO130:AO136)</f>
        <v>2368023</v>
      </c>
      <c r="AP137" s="9">
        <f t="shared" si="429"/>
        <v>3062207</v>
      </c>
      <c r="AQ137" s="9">
        <f t="shared" si="429"/>
        <v>3655546</v>
      </c>
      <c r="AR137" s="9">
        <f t="shared" ref="AR137" si="430">SUM(AR130:AR136)</f>
        <v>4695225.3025594801</v>
      </c>
      <c r="AS137" s="9">
        <f t="shared" ref="AS137" si="431">SUM(AS130:AS136)</f>
        <v>5797377.2227297043</v>
      </c>
      <c r="AT137" s="9">
        <f t="shared" ref="AT137" si="432">SUM(AT130:AT136)</f>
        <v>7069835.0327415671</v>
      </c>
      <c r="AU137" s="9">
        <f t="shared" ref="AU137" si="433">SUM(AU130:AU136)</f>
        <v>8561301.3530941792</v>
      </c>
      <c r="AV137" s="9">
        <f t="shared" ref="AV137" si="434">SUM(AV130:AV136)</f>
        <v>10301647.109988848</v>
      </c>
    </row>
    <row r="138" spans="2:48" outlineLevel="1" x14ac:dyDescent="0.2">
      <c r="B138" s="8" t="s">
        <v>110</v>
      </c>
      <c r="C138" s="10">
        <v>6652958</v>
      </c>
      <c r="D138" s="10">
        <v>6652958</v>
      </c>
      <c r="E138" s="10">
        <v>6652958</v>
      </c>
      <c r="F138" s="10">
        <v>6652958</v>
      </c>
      <c r="G138" s="10">
        <v>6467257</v>
      </c>
      <c r="H138" s="10">
        <v>6545336</v>
      </c>
      <c r="I138" s="10">
        <v>6817437</v>
      </c>
      <c r="J138" s="10">
        <v>6927504</v>
      </c>
      <c r="K138" s="10">
        <v>8044362</v>
      </c>
      <c r="L138" s="10">
        <v>8044362</v>
      </c>
      <c r="M138" s="10">
        <v>8044362</v>
      </c>
      <c r="N138" s="10">
        <v>8044362</v>
      </c>
      <c r="O138" s="10">
        <v>8411249</v>
      </c>
      <c r="P138" s="10">
        <v>8919835</v>
      </c>
      <c r="Q138" s="10">
        <v>9011670</v>
      </c>
      <c r="R138" s="10">
        <v>9204374</v>
      </c>
      <c r="AN138" s="10">
        <f>SUM(AN137,AN128)</f>
        <v>6652958</v>
      </c>
      <c r="AO138" s="10">
        <f t="shared" ref="AO138:AQ138" si="435">SUM(AO137,AO128)</f>
        <v>6927504</v>
      </c>
      <c r="AP138" s="10">
        <f t="shared" si="435"/>
        <v>8044362</v>
      </c>
      <c r="AQ138" s="10">
        <f t="shared" si="435"/>
        <v>9204374</v>
      </c>
      <c r="AR138" s="10">
        <f t="shared" ref="AR138" si="436">SUM(AR137,AR128)</f>
        <v>10353062.478512313</v>
      </c>
      <c r="AS138" s="10">
        <f t="shared" ref="AS138" si="437">SUM(AS137,AS128)</f>
        <v>11554852.254981387</v>
      </c>
      <c r="AT138" s="10">
        <f t="shared" ref="AT138" si="438">SUM(AT137,AT128)</f>
        <v>12928692.379847083</v>
      </c>
      <c r="AU138" s="10">
        <f t="shared" ref="AU138" si="439">SUM(AU137,AU128)</f>
        <v>14523214.245012673</v>
      </c>
      <c r="AV138" s="10">
        <f t="shared" ref="AV138" si="440">SUM(AV137,AV128)</f>
        <v>16385788.2209897</v>
      </c>
    </row>
    <row r="139" spans="2:48" outlineLevel="1" collapsed="1" x14ac:dyDescent="0.2"/>
    <row r="140" spans="2:48" outlineLevel="1" x14ac:dyDescent="0.2">
      <c r="B140" s="4" t="s">
        <v>230</v>
      </c>
      <c r="C140" s="17">
        <f t="shared" ref="C140:R140" si="441">C138-C115</f>
        <v>0</v>
      </c>
      <c r="D140" s="17">
        <f t="shared" si="441"/>
        <v>0</v>
      </c>
      <c r="E140" s="17">
        <f t="shared" si="441"/>
        <v>0</v>
      </c>
      <c r="F140" s="17">
        <f t="shared" si="441"/>
        <v>0</v>
      </c>
      <c r="G140" s="17">
        <f t="shared" si="441"/>
        <v>0</v>
      </c>
      <c r="H140" s="17">
        <f t="shared" si="441"/>
        <v>0</v>
      </c>
      <c r="I140" s="17">
        <f t="shared" si="441"/>
        <v>0</v>
      </c>
      <c r="J140" s="17">
        <f t="shared" si="441"/>
        <v>0</v>
      </c>
      <c r="K140" s="17">
        <f t="shared" si="441"/>
        <v>0</v>
      </c>
      <c r="L140" s="17">
        <f t="shared" si="441"/>
        <v>0</v>
      </c>
      <c r="M140" s="17">
        <f t="shared" si="441"/>
        <v>0</v>
      </c>
      <c r="N140" s="17">
        <f t="shared" si="441"/>
        <v>0</v>
      </c>
      <c r="O140" s="17">
        <f t="shared" si="441"/>
        <v>0</v>
      </c>
      <c r="P140" s="17">
        <f t="shared" si="441"/>
        <v>0</v>
      </c>
      <c r="Q140" s="17">
        <f t="shared" si="441"/>
        <v>0</v>
      </c>
      <c r="R140" s="17">
        <f t="shared" si="441"/>
        <v>0</v>
      </c>
      <c r="AN140" s="17">
        <f t="shared" ref="AN140:AV140" si="442">AN138-AN115</f>
        <v>0</v>
      </c>
      <c r="AO140" s="17">
        <f t="shared" si="442"/>
        <v>0</v>
      </c>
      <c r="AP140" s="17">
        <f t="shared" si="442"/>
        <v>0</v>
      </c>
      <c r="AQ140" s="17">
        <f t="shared" si="442"/>
        <v>0</v>
      </c>
      <c r="AR140" s="17">
        <f>AR138-AR115</f>
        <v>0</v>
      </c>
      <c r="AS140" s="17">
        <f t="shared" ref="AS140:AV140" si="443">AS138-AS115</f>
        <v>0</v>
      </c>
      <c r="AT140" s="17">
        <f t="shared" si="443"/>
        <v>0</v>
      </c>
      <c r="AU140" s="17">
        <f t="shared" si="443"/>
        <v>0</v>
      </c>
      <c r="AV140" s="17">
        <f t="shared" si="443"/>
        <v>0</v>
      </c>
    </row>
    <row r="142" spans="2:48" ht="15" x14ac:dyDescent="0.25">
      <c r="B142" s="22" t="s">
        <v>111</v>
      </c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  <c r="AJ142" s="23"/>
      <c r="AK142" s="23"/>
      <c r="AL142" s="23"/>
      <c r="AN142" s="22"/>
      <c r="AO142" s="22"/>
      <c r="AP142" s="22"/>
      <c r="AQ142" s="22"/>
      <c r="AR142" s="22"/>
      <c r="AS142" s="22"/>
      <c r="AT142" s="22"/>
      <c r="AU142" s="22"/>
      <c r="AV142" s="22"/>
    </row>
    <row r="144" spans="2:48" ht="15" x14ac:dyDescent="0.25">
      <c r="B144" s="19" t="s">
        <v>112</v>
      </c>
    </row>
    <row r="145" spans="2:48" x14ac:dyDescent="0.2">
      <c r="B145" s="8" t="s">
        <v>42</v>
      </c>
      <c r="C145" s="66"/>
      <c r="D145" s="66"/>
      <c r="E145" s="66"/>
      <c r="F145" s="66"/>
      <c r="G145" s="66"/>
      <c r="H145" s="66"/>
      <c r="I145" s="66"/>
      <c r="J145" s="66"/>
      <c r="K145" s="66"/>
      <c r="L145" s="66"/>
      <c r="M145" s="66"/>
      <c r="N145" s="66"/>
      <c r="O145" s="66"/>
      <c r="P145" s="66"/>
      <c r="Q145" s="66"/>
      <c r="R145" s="66"/>
      <c r="AN145" s="10">
        <v>652984</v>
      </c>
      <c r="AO145" s="10">
        <v>899101</v>
      </c>
      <c r="AP145" s="10">
        <v>1228737</v>
      </c>
      <c r="AQ145" s="10">
        <v>1534110</v>
      </c>
      <c r="AR145" s="17">
        <f>AR65</f>
        <v>1357151.7524497525</v>
      </c>
      <c r="AS145" s="17">
        <f>AS65</f>
        <v>1401945.123759334</v>
      </c>
      <c r="AT145" s="17">
        <f>AT65</f>
        <v>1553665.4656166211</v>
      </c>
      <c r="AU145" s="17">
        <f>AU65</f>
        <v>1753370.7274814532</v>
      </c>
      <c r="AV145" s="17">
        <f>AV65</f>
        <v>1979753.9812248168</v>
      </c>
    </row>
    <row r="146" spans="2:48" ht="15" x14ac:dyDescent="0.25">
      <c r="B146" s="8" t="s">
        <v>113</v>
      </c>
      <c r="C146" s="66"/>
      <c r="D146" s="66"/>
      <c r="E146" s="66"/>
      <c r="F146" s="66"/>
      <c r="G146" s="66"/>
      <c r="H146" s="66"/>
      <c r="I146" s="66"/>
      <c r="J146" s="66"/>
      <c r="K146" s="66"/>
      <c r="L146" s="66"/>
      <c r="M146" s="66"/>
      <c r="N146" s="66"/>
      <c r="O146" s="66"/>
      <c r="P146" s="66"/>
      <c r="Q146" s="66"/>
      <c r="R146" s="66"/>
      <c r="AN146" s="6"/>
      <c r="AO146" s="6"/>
      <c r="AP146" s="6"/>
      <c r="AQ146" s="6"/>
    </row>
    <row r="147" spans="2:48" x14ac:dyDescent="0.2">
      <c r="B147" s="8" t="s">
        <v>34</v>
      </c>
      <c r="C147" s="66"/>
      <c r="D147" s="66"/>
      <c r="E147" s="66"/>
      <c r="F147" s="66"/>
      <c r="G147" s="66"/>
      <c r="H147" s="66"/>
      <c r="I147" s="66"/>
      <c r="J147" s="66"/>
      <c r="K147" s="66"/>
      <c r="L147" s="66"/>
      <c r="M147" s="66"/>
      <c r="N147" s="66"/>
      <c r="O147" s="66"/>
      <c r="P147" s="66"/>
      <c r="Q147" s="66"/>
      <c r="R147" s="66"/>
      <c r="AN147" s="9">
        <v>254657</v>
      </c>
      <c r="AO147" s="9">
        <v>286826</v>
      </c>
      <c r="AP147" s="9">
        <v>319394</v>
      </c>
      <c r="AQ147" s="9">
        <v>335030</v>
      </c>
      <c r="AR147" s="46">
        <f>AR220</f>
        <v>399325.55314292212</v>
      </c>
      <c r="AS147" s="46">
        <f t="shared" ref="AS147:AV147" si="444">AS220</f>
        <v>438003.41193255334</v>
      </c>
      <c r="AT147" s="46">
        <f t="shared" si="444"/>
        <v>478664.03672510729</v>
      </c>
      <c r="AU147" s="46">
        <f t="shared" si="444"/>
        <v>520894.81432808784</v>
      </c>
      <c r="AV147" s="46">
        <f t="shared" si="444"/>
        <v>570110.94983361429</v>
      </c>
    </row>
    <row r="148" spans="2:48" x14ac:dyDescent="0.2">
      <c r="B148" s="8" t="s">
        <v>114</v>
      </c>
      <c r="C148" s="66"/>
      <c r="D148" s="66"/>
      <c r="E148" s="66"/>
      <c r="F148" s="66"/>
      <c r="G148" s="66"/>
      <c r="H148" s="66"/>
      <c r="I148" s="66"/>
      <c r="J148" s="66"/>
      <c r="K148" s="66"/>
      <c r="L148" s="66"/>
      <c r="M148" s="66"/>
      <c r="N148" s="66"/>
      <c r="O148" s="66"/>
      <c r="P148" s="66"/>
      <c r="Q148" s="66"/>
      <c r="R148" s="66"/>
      <c r="AN148" s="9">
        <v>-12357</v>
      </c>
      <c r="AO148" s="9">
        <v>-43195</v>
      </c>
      <c r="AP148" s="9">
        <v>-9505</v>
      </c>
      <c r="AQ148" s="9">
        <v>-42937</v>
      </c>
      <c r="AR148" s="46">
        <v>0</v>
      </c>
      <c r="AS148" s="46">
        <v>0</v>
      </c>
      <c r="AT148" s="46">
        <v>0</v>
      </c>
      <c r="AU148" s="46">
        <v>0</v>
      </c>
      <c r="AV148" s="46">
        <v>0</v>
      </c>
    </row>
    <row r="149" spans="2:48" x14ac:dyDescent="0.2">
      <c r="B149" s="8" t="s">
        <v>36</v>
      </c>
      <c r="C149" s="66"/>
      <c r="D149" s="66"/>
      <c r="E149" s="66"/>
      <c r="F149" s="66"/>
      <c r="G149" s="66"/>
      <c r="H149" s="66"/>
      <c r="I149" s="66"/>
      <c r="J149" s="66"/>
      <c r="K149" s="66"/>
      <c r="L149" s="66"/>
      <c r="M149" s="66"/>
      <c r="N149" s="66"/>
      <c r="O149" s="66"/>
      <c r="P149" s="66"/>
      <c r="Q149" s="66"/>
      <c r="R149" s="66"/>
      <c r="AN149" s="9">
        <v>17086</v>
      </c>
      <c r="AO149" s="9">
        <v>20738</v>
      </c>
      <c r="AP149" s="9">
        <v>37025</v>
      </c>
      <c r="AQ149" s="9">
        <v>24582</v>
      </c>
      <c r="AR149" s="46">
        <v>0</v>
      </c>
      <c r="AS149" s="46">
        <v>0</v>
      </c>
      <c r="AT149" s="46">
        <v>0</v>
      </c>
      <c r="AU149" s="46">
        <v>0</v>
      </c>
      <c r="AV149" s="46">
        <v>0</v>
      </c>
    </row>
    <row r="150" spans="2:48" x14ac:dyDescent="0.2">
      <c r="B150" s="8" t="s">
        <v>115</v>
      </c>
      <c r="C150" s="66"/>
      <c r="D150" s="66"/>
      <c r="E150" s="66"/>
      <c r="F150" s="66"/>
      <c r="G150" s="66"/>
      <c r="H150" s="66"/>
      <c r="I150" s="66"/>
      <c r="J150" s="66"/>
      <c r="K150" s="66"/>
      <c r="L150" s="66"/>
      <c r="M150" s="66"/>
      <c r="N150" s="66"/>
      <c r="O150" s="66"/>
      <c r="P150" s="66"/>
      <c r="Q150" s="66"/>
      <c r="R150" s="66"/>
      <c r="AN150" s="9">
        <v>493</v>
      </c>
      <c r="AO150" s="9">
        <v>-760</v>
      </c>
      <c r="AP150" s="9">
        <v>1570</v>
      </c>
      <c r="AQ150" s="9">
        <v>215</v>
      </c>
      <c r="AR150" s="46">
        <v>0</v>
      </c>
      <c r="AS150" s="46">
        <v>0</v>
      </c>
      <c r="AT150" s="46">
        <v>0</v>
      </c>
      <c r="AU150" s="46">
        <v>0</v>
      </c>
      <c r="AV150" s="46">
        <v>0</v>
      </c>
    </row>
    <row r="151" spans="2:48" x14ac:dyDescent="0.2">
      <c r="B151" s="8" t="s">
        <v>116</v>
      </c>
      <c r="C151" s="66"/>
      <c r="D151" s="66"/>
      <c r="E151" s="66"/>
      <c r="F151" s="66"/>
      <c r="G151" s="66"/>
      <c r="H151" s="66"/>
      <c r="I151" s="66"/>
      <c r="J151" s="66"/>
      <c r="K151" s="66"/>
      <c r="L151" s="66"/>
      <c r="M151" s="66"/>
      <c r="N151" s="66"/>
      <c r="O151" s="66"/>
      <c r="P151" s="66"/>
      <c r="Q151" s="66"/>
      <c r="R151" s="66"/>
      <c r="AN151" s="9">
        <v>176392</v>
      </c>
      <c r="AO151" s="9">
        <v>98030</v>
      </c>
      <c r="AP151" s="9">
        <v>124016</v>
      </c>
      <c r="AQ151" s="9">
        <v>131730</v>
      </c>
      <c r="AR151" s="46">
        <f>AR238</f>
        <v>182527.55010972795</v>
      </c>
      <c r="AS151" s="46">
        <f t="shared" ref="AS151:AV151" si="445">AS238</f>
        <v>200206.79641088974</v>
      </c>
      <c r="AT151" s="46">
        <f t="shared" si="445"/>
        <v>218792.34439524187</v>
      </c>
      <c r="AU151" s="46">
        <f t="shared" si="445"/>
        <v>238095.59287115885</v>
      </c>
      <c r="AV151" s="46">
        <f t="shared" si="445"/>
        <v>260591.77566985125</v>
      </c>
    </row>
    <row r="152" spans="2:48" x14ac:dyDescent="0.2">
      <c r="B152" s="8" t="s">
        <v>117</v>
      </c>
      <c r="C152" s="66"/>
      <c r="D152" s="66"/>
      <c r="E152" s="66"/>
      <c r="F152" s="66"/>
      <c r="G152" s="66"/>
      <c r="H152" s="66"/>
      <c r="I152" s="66"/>
      <c r="J152" s="66"/>
      <c r="K152" s="66"/>
      <c r="L152" s="66"/>
      <c r="M152" s="66"/>
      <c r="N152" s="66"/>
      <c r="O152" s="66"/>
      <c r="P152" s="66"/>
      <c r="Q152" s="66"/>
      <c r="R152" s="66"/>
      <c r="AN152" s="9">
        <v>-4599</v>
      </c>
      <c r="AO152" s="9">
        <v>-16202</v>
      </c>
      <c r="AP152" s="9">
        <v>-13080</v>
      </c>
      <c r="AQ152" s="9">
        <v>-3472</v>
      </c>
      <c r="AR152" s="46">
        <v>0</v>
      </c>
      <c r="AS152" s="46">
        <v>0</v>
      </c>
      <c r="AT152" s="46">
        <v>0</v>
      </c>
      <c r="AU152" s="46">
        <v>0</v>
      </c>
      <c r="AV152" s="46">
        <v>0</v>
      </c>
    </row>
    <row r="153" spans="2:48" x14ac:dyDescent="0.2">
      <c r="B153" s="8" t="s">
        <v>118</v>
      </c>
      <c r="C153" s="66"/>
      <c r="D153" s="66"/>
      <c r="E153" s="66"/>
      <c r="F153" s="66"/>
      <c r="G153" s="66"/>
      <c r="H153" s="66"/>
      <c r="I153" s="66"/>
      <c r="J153" s="66"/>
      <c r="K153" s="66"/>
      <c r="L153" s="66"/>
      <c r="M153" s="66"/>
      <c r="N153" s="66"/>
      <c r="O153" s="66"/>
      <c r="P153" s="66"/>
      <c r="Q153" s="66"/>
      <c r="R153" s="66"/>
      <c r="AN153" s="9"/>
      <c r="AO153" s="9"/>
      <c r="AP153" s="9"/>
      <c r="AQ153" s="9"/>
    </row>
    <row r="154" spans="2:48" x14ac:dyDescent="0.2">
      <c r="B154" s="8" t="s">
        <v>119</v>
      </c>
      <c r="C154" s="66"/>
      <c r="D154" s="66"/>
      <c r="E154" s="66"/>
      <c r="F154" s="66"/>
      <c r="G154" s="66"/>
      <c r="H154" s="66"/>
      <c r="I154" s="66"/>
      <c r="J154" s="66"/>
      <c r="K154" s="66"/>
      <c r="L154" s="66"/>
      <c r="M154" s="66"/>
      <c r="N154" s="66"/>
      <c r="O154" s="66"/>
      <c r="P154" s="66"/>
      <c r="Q154" s="66"/>
      <c r="R154" s="66"/>
      <c r="AN154" s="9">
        <v>-1687</v>
      </c>
      <c r="AO154" s="9">
        <v>-14026</v>
      </c>
      <c r="AP154" s="9">
        <v>-11216</v>
      </c>
      <c r="AQ154" s="9">
        <v>-29274</v>
      </c>
      <c r="AR154" s="17">
        <f>AQ192-AR192</f>
        <v>-11019.453242081654</v>
      </c>
      <c r="AS154" s="17">
        <f t="shared" ref="AS154:AV154" si="446">AR192-AS192</f>
        <v>-15011.284387359046</v>
      </c>
      <c r="AT154" s="17">
        <f t="shared" si="446"/>
        <v>-15780.816757424938</v>
      </c>
      <c r="AU154" s="17">
        <f t="shared" si="446"/>
        <v>-15837.846858320612</v>
      </c>
      <c r="AV154" s="17">
        <f t="shared" si="446"/>
        <v>-19653.663322845736</v>
      </c>
    </row>
    <row r="155" spans="2:48" x14ac:dyDescent="0.2">
      <c r="B155" s="8" t="s">
        <v>78</v>
      </c>
      <c r="C155" s="66"/>
      <c r="D155" s="66"/>
      <c r="E155" s="66"/>
      <c r="F155" s="66"/>
      <c r="G155" s="66"/>
      <c r="H155" s="66"/>
      <c r="I155" s="66"/>
      <c r="J155" s="66"/>
      <c r="K155" s="66"/>
      <c r="L155" s="66"/>
      <c r="M155" s="66"/>
      <c r="N155" s="66"/>
      <c r="O155" s="66"/>
      <c r="P155" s="66"/>
      <c r="Q155" s="66"/>
      <c r="R155" s="66"/>
      <c r="AN155" s="9">
        <v>-6392</v>
      </c>
      <c r="AO155" s="9">
        <v>-3011</v>
      </c>
      <c r="AP155" s="9">
        <v>-3649</v>
      </c>
      <c r="AQ155" s="9">
        <v>-9797</v>
      </c>
      <c r="AR155" s="46">
        <f>AQ194-AR194</f>
        <v>-2251.6760900751033</v>
      </c>
      <c r="AS155" s="46">
        <f t="shared" ref="AS155:AV155" si="447">AR194-AS194</f>
        <v>-5532.0739677514866</v>
      </c>
      <c r="AT155" s="46">
        <f t="shared" si="447"/>
        <v>-5123.1507008299013</v>
      </c>
      <c r="AU155" s="46">
        <f t="shared" si="447"/>
        <v>-4859.4049857370628</v>
      </c>
      <c r="AV155" s="46">
        <f t="shared" si="447"/>
        <v>-6101.0130019067292</v>
      </c>
    </row>
    <row r="156" spans="2:48" x14ac:dyDescent="0.2">
      <c r="B156" s="8" t="s">
        <v>79</v>
      </c>
      <c r="C156" s="66"/>
      <c r="D156" s="66"/>
      <c r="E156" s="66"/>
      <c r="F156" s="66"/>
      <c r="G156" s="66"/>
      <c r="H156" s="66"/>
      <c r="I156" s="66"/>
      <c r="J156" s="66"/>
      <c r="K156" s="66"/>
      <c r="L156" s="66"/>
      <c r="M156" s="66"/>
      <c r="N156" s="66"/>
      <c r="O156" s="66"/>
      <c r="P156" s="66"/>
      <c r="Q156" s="66"/>
      <c r="R156" s="66"/>
      <c r="AN156" s="9">
        <v>-26826</v>
      </c>
      <c r="AO156" s="9">
        <v>-14660</v>
      </c>
      <c r="AP156" s="9">
        <v>-39211</v>
      </c>
      <c r="AQ156" s="9">
        <v>9244</v>
      </c>
      <c r="AR156" s="46">
        <f>AQ196-AR196</f>
        <v>-29335.910627858291</v>
      </c>
      <c r="AS156" s="46">
        <f t="shared" ref="AS156:AV156" si="448">AR196-AS196</f>
        <v>-12288.748267497591</v>
      </c>
      <c r="AT156" s="46">
        <f t="shared" si="448"/>
        <v>-12918.713654562947</v>
      </c>
      <c r="AU156" s="46">
        <f t="shared" si="448"/>
        <v>-13417.583375707094</v>
      </c>
      <c r="AV156" s="46">
        <f t="shared" si="448"/>
        <v>-15636.974715068762</v>
      </c>
    </row>
    <row r="157" spans="2:48" x14ac:dyDescent="0.2">
      <c r="B157" s="8" t="s">
        <v>86</v>
      </c>
      <c r="C157" s="66"/>
      <c r="D157" s="66"/>
      <c r="E157" s="66"/>
      <c r="F157" s="66"/>
      <c r="G157" s="66"/>
      <c r="H157" s="66"/>
      <c r="I157" s="66"/>
      <c r="J157" s="66"/>
      <c r="K157" s="66"/>
      <c r="L157" s="66"/>
      <c r="M157" s="66"/>
      <c r="N157" s="66"/>
      <c r="O157" s="66"/>
      <c r="P157" s="66"/>
      <c r="Q157" s="66"/>
      <c r="R157" s="66"/>
      <c r="AN157" s="9">
        <v>223837</v>
      </c>
      <c r="AO157" s="9">
        <v>234273</v>
      </c>
      <c r="AP157" s="9">
        <v>254241</v>
      </c>
      <c r="AQ157" s="9">
        <v>285587</v>
      </c>
      <c r="AR157" s="46">
        <v>0</v>
      </c>
      <c r="AS157" s="46">
        <v>0</v>
      </c>
      <c r="AT157" s="46">
        <v>0</v>
      </c>
      <c r="AU157" s="46">
        <v>0</v>
      </c>
      <c r="AV157" s="46">
        <v>0</v>
      </c>
    </row>
    <row r="158" spans="2:48" x14ac:dyDescent="0.2">
      <c r="B158" s="8" t="s">
        <v>87</v>
      </c>
      <c r="C158" s="66"/>
      <c r="D158" s="66"/>
      <c r="E158" s="66"/>
      <c r="F158" s="66"/>
      <c r="G158" s="66"/>
      <c r="H158" s="66"/>
      <c r="I158" s="66"/>
      <c r="J158" s="66"/>
      <c r="K158" s="66"/>
      <c r="L158" s="66"/>
      <c r="M158" s="66"/>
      <c r="N158" s="66"/>
      <c r="O158" s="66"/>
      <c r="P158" s="66"/>
      <c r="Q158" s="66"/>
      <c r="R158" s="66"/>
      <c r="AN158" s="9">
        <v>3993</v>
      </c>
      <c r="AO158" s="9">
        <v>-346</v>
      </c>
      <c r="AP158" s="9">
        <v>4204</v>
      </c>
      <c r="AQ158" s="9">
        <v>-17690</v>
      </c>
      <c r="AR158" s="46">
        <f>AQ105-AR105</f>
        <v>-23520.539535146556</v>
      </c>
      <c r="AS158" s="46">
        <f t="shared" ref="AS158:AV158" si="449">AR105-AS105</f>
        <v>-8789.815346748408</v>
      </c>
      <c r="AT158" s="46">
        <f t="shared" si="449"/>
        <v>-9240.4128613702196</v>
      </c>
      <c r="AU158" s="46">
        <f t="shared" si="449"/>
        <v>-9597.2411269909644</v>
      </c>
      <c r="AV158" s="46">
        <f t="shared" si="449"/>
        <v>-11184.712823091875</v>
      </c>
    </row>
    <row r="159" spans="2:48" x14ac:dyDescent="0.2">
      <c r="B159" s="8" t="s">
        <v>92</v>
      </c>
      <c r="C159" s="66"/>
      <c r="D159" s="66"/>
      <c r="E159" s="66"/>
      <c r="F159" s="66"/>
      <c r="G159" s="66"/>
      <c r="H159" s="66"/>
      <c r="I159" s="66"/>
      <c r="J159" s="66"/>
      <c r="K159" s="66"/>
      <c r="L159" s="66"/>
      <c r="M159" s="66"/>
      <c r="N159" s="66"/>
      <c r="O159" s="66"/>
      <c r="P159" s="66"/>
      <c r="Q159" s="66"/>
      <c r="R159" s="66"/>
      <c r="AN159" s="9">
        <v>21440</v>
      </c>
      <c r="AO159" s="9">
        <v>18208</v>
      </c>
      <c r="AP159" s="9">
        <v>5313</v>
      </c>
      <c r="AQ159" s="9">
        <v>8467</v>
      </c>
      <c r="AR159" s="9">
        <f>AR118-AQ118</f>
        <v>37936.394391946262</v>
      </c>
      <c r="AS159" s="9">
        <f t="shared" ref="AS159:AV159" si="450">AS118-AR118</f>
        <v>26867.522896018345</v>
      </c>
      <c r="AT159" s="9">
        <f t="shared" si="450"/>
        <v>24881.512712355528</v>
      </c>
      <c r="AU159" s="9">
        <f t="shared" si="450"/>
        <v>23600.583700868767</v>
      </c>
      <c r="AV159" s="9">
        <f t="shared" si="450"/>
        <v>29630.678742399323</v>
      </c>
    </row>
    <row r="160" spans="2:48" x14ac:dyDescent="0.2">
      <c r="B160" s="8" t="s">
        <v>93</v>
      </c>
      <c r="C160" s="66"/>
      <c r="D160" s="66"/>
      <c r="E160" s="66"/>
      <c r="F160" s="66"/>
      <c r="G160" s="66"/>
      <c r="H160" s="66"/>
      <c r="I160" s="66"/>
      <c r="J160" s="66"/>
      <c r="K160" s="66"/>
      <c r="L160" s="66"/>
      <c r="M160" s="66"/>
      <c r="N160" s="66"/>
      <c r="O160" s="66"/>
      <c r="P160" s="66"/>
      <c r="Q160" s="66"/>
      <c r="R160" s="66"/>
      <c r="AN160" s="9">
        <v>-44555</v>
      </c>
      <c r="AO160" s="9">
        <v>9864</v>
      </c>
      <c r="AP160" s="9">
        <v>57048</v>
      </c>
      <c r="AQ160" s="9">
        <v>34857</v>
      </c>
      <c r="AR160" s="9">
        <f>AR119-AQ119</f>
        <v>8973.0942541357363</v>
      </c>
      <c r="AS160" s="9">
        <f t="shared" ref="AS160:AV160" si="451">AS119-AR119</f>
        <v>26237.474709980015</v>
      </c>
      <c r="AT160" s="9">
        <f t="shared" si="451"/>
        <v>27582.501929310965</v>
      </c>
      <c r="AU160" s="9">
        <f t="shared" si="451"/>
        <v>28647.629264266114</v>
      </c>
      <c r="AV160" s="9">
        <f t="shared" si="451"/>
        <v>33386.209864217555</v>
      </c>
    </row>
    <row r="161" spans="2:48" x14ac:dyDescent="0.2">
      <c r="B161" s="8" t="s">
        <v>94</v>
      </c>
      <c r="C161" s="66"/>
      <c r="D161" s="66"/>
      <c r="E161" s="66"/>
      <c r="F161" s="66"/>
      <c r="G161" s="66"/>
      <c r="H161" s="66"/>
      <c r="I161" s="66"/>
      <c r="J161" s="66"/>
      <c r="K161" s="66"/>
      <c r="L161" s="66"/>
      <c r="M161" s="66"/>
      <c r="N161" s="66"/>
      <c r="O161" s="66"/>
      <c r="P161" s="66"/>
      <c r="Q161" s="66"/>
      <c r="R161" s="66"/>
      <c r="AN161" s="9">
        <v>10997</v>
      </c>
      <c r="AO161" s="9">
        <v>-27964</v>
      </c>
      <c r="AP161" s="9">
        <v>3188</v>
      </c>
      <c r="AQ161" s="9">
        <v>27284</v>
      </c>
      <c r="AR161" s="9">
        <f>AR120-AQ120</f>
        <v>39741.287289618427</v>
      </c>
      <c r="AS161" s="9">
        <f t="shared" ref="AS161:AV161" si="452">AS120-AR120</f>
        <v>21259.187935632712</v>
      </c>
      <c r="AT161" s="9">
        <f t="shared" si="452"/>
        <v>22349.010288979189</v>
      </c>
      <c r="AU161" s="9">
        <f t="shared" si="452"/>
        <v>23212.040837440407</v>
      </c>
      <c r="AV161" s="9">
        <f t="shared" si="452"/>
        <v>27051.525263286894</v>
      </c>
    </row>
    <row r="162" spans="2:48" x14ac:dyDescent="0.2">
      <c r="B162" s="8" t="s">
        <v>95</v>
      </c>
      <c r="C162" s="66"/>
      <c r="D162" s="66"/>
      <c r="E162" s="66"/>
      <c r="F162" s="66"/>
      <c r="G162" s="66"/>
      <c r="H162" s="66"/>
      <c r="I162" s="66"/>
      <c r="J162" s="66"/>
      <c r="K162" s="66"/>
      <c r="L162" s="66"/>
      <c r="M162" s="66"/>
      <c r="N162" s="66"/>
      <c r="O162" s="66"/>
      <c r="P162" s="66"/>
      <c r="Q162" s="66"/>
      <c r="R162" s="66"/>
      <c r="AN162" s="9">
        <v>34387</v>
      </c>
      <c r="AO162" s="9">
        <v>33374</v>
      </c>
      <c r="AP162" s="9">
        <v>35685</v>
      </c>
      <c r="AQ162" s="9">
        <v>46139</v>
      </c>
      <c r="AR162" s="9">
        <f>AR121-AQ121</f>
        <v>22358.400017133274</v>
      </c>
      <c r="AS162" s="9">
        <f t="shared" ref="AS162:AV162" si="453">AS121-AR121</f>
        <v>25273.670757219079</v>
      </c>
      <c r="AT162" s="9">
        <f t="shared" si="453"/>
        <v>26569.289923187811</v>
      </c>
      <c r="AU162" s="9">
        <f t="shared" si="453"/>
        <v>27595.291010401095</v>
      </c>
      <c r="AV162" s="9">
        <f t="shared" si="453"/>
        <v>32159.805212454405</v>
      </c>
    </row>
    <row r="163" spans="2:48" x14ac:dyDescent="0.2">
      <c r="B163" s="8" t="s">
        <v>120</v>
      </c>
      <c r="C163" s="66"/>
      <c r="D163" s="66"/>
      <c r="E163" s="66"/>
      <c r="F163" s="66"/>
      <c r="G163" s="66"/>
      <c r="H163" s="66"/>
      <c r="I163" s="66"/>
      <c r="J163" s="66"/>
      <c r="K163" s="66"/>
      <c r="L163" s="66"/>
      <c r="M163" s="66"/>
      <c r="N163" s="66"/>
      <c r="O163" s="66"/>
      <c r="P163" s="66"/>
      <c r="Q163" s="66"/>
      <c r="R163" s="66"/>
      <c r="AN163" s="9">
        <v>193379</v>
      </c>
      <c r="AO163" s="9">
        <v>46262</v>
      </c>
      <c r="AP163" s="9">
        <v>-5237</v>
      </c>
      <c r="AQ163" s="9">
        <v>-14363</v>
      </c>
      <c r="AR163" s="46">
        <v>0</v>
      </c>
      <c r="AS163" s="46">
        <v>0</v>
      </c>
      <c r="AT163" s="46">
        <v>0</v>
      </c>
      <c r="AU163" s="46">
        <v>0</v>
      </c>
      <c r="AV163" s="46">
        <v>0</v>
      </c>
    </row>
    <row r="164" spans="2:48" x14ac:dyDescent="0.2">
      <c r="B164" s="8" t="s">
        <v>121</v>
      </c>
      <c r="C164" s="66"/>
      <c r="D164" s="66"/>
      <c r="E164" s="66"/>
      <c r="F164" s="66"/>
      <c r="G164" s="66"/>
      <c r="H164" s="66"/>
      <c r="I164" s="66"/>
      <c r="J164" s="66"/>
      <c r="K164" s="66"/>
      <c r="L164" s="66"/>
      <c r="M164" s="66"/>
      <c r="N164" s="66"/>
      <c r="O164" s="66"/>
      <c r="P164" s="66"/>
      <c r="Q164" s="66"/>
      <c r="R164" s="66"/>
      <c r="AN164" s="9">
        <v>-207164</v>
      </c>
      <c r="AO164" s="9">
        <v>-207186</v>
      </c>
      <c r="AP164" s="9">
        <v>-214477</v>
      </c>
      <c r="AQ164" s="9">
        <v>-217894</v>
      </c>
      <c r="AR164" s="46">
        <v>0</v>
      </c>
      <c r="AS164" s="46">
        <v>0</v>
      </c>
      <c r="AT164" s="46">
        <v>0</v>
      </c>
      <c r="AU164" s="46">
        <v>0</v>
      </c>
      <c r="AV164" s="46">
        <v>0</v>
      </c>
    </row>
    <row r="165" spans="2:48" x14ac:dyDescent="0.2">
      <c r="B165" s="8" t="s">
        <v>122</v>
      </c>
      <c r="C165" s="66"/>
      <c r="D165" s="66"/>
      <c r="E165" s="66"/>
      <c r="F165" s="66"/>
      <c r="G165" s="66"/>
      <c r="H165" s="66"/>
      <c r="I165" s="66"/>
      <c r="J165" s="66"/>
      <c r="K165" s="66"/>
      <c r="L165" s="66"/>
      <c r="M165" s="66"/>
      <c r="N165" s="66"/>
      <c r="O165" s="66"/>
      <c r="P165" s="66"/>
      <c r="Q165" s="66"/>
      <c r="R165" s="66"/>
      <c r="AN165" s="9">
        <v>-3984</v>
      </c>
      <c r="AO165" s="9">
        <v>3853</v>
      </c>
      <c r="AP165" s="9">
        <v>9431</v>
      </c>
      <c r="AQ165" s="9">
        <v>3258</v>
      </c>
      <c r="AR165" s="46"/>
      <c r="AS165" s="46"/>
      <c r="AT165" s="46"/>
      <c r="AU165" s="46"/>
      <c r="AV165" s="46"/>
    </row>
    <row r="166" spans="2:48" x14ac:dyDescent="0.2">
      <c r="B166" s="8" t="s">
        <v>123</v>
      </c>
      <c r="C166" s="66"/>
      <c r="D166" s="66"/>
      <c r="E166" s="66"/>
      <c r="F166" s="66"/>
      <c r="G166" s="66"/>
      <c r="H166" s="66"/>
      <c r="I166" s="66"/>
      <c r="J166" s="66"/>
      <c r="K166" s="66"/>
      <c r="L166" s="66"/>
      <c r="M166" s="66"/>
      <c r="N166" s="66"/>
      <c r="O166" s="66"/>
      <c r="P166" s="66"/>
      <c r="Q166" s="66"/>
      <c r="R166" s="66"/>
      <c r="AN166" s="9">
        <f t="shared" ref="AN166:AP166" si="454">SUM(AN145:AN165)</f>
        <v>1282081</v>
      </c>
      <c r="AO166" s="9">
        <f t="shared" si="454"/>
        <v>1323179</v>
      </c>
      <c r="AP166" s="9">
        <f t="shared" si="454"/>
        <v>1783477</v>
      </c>
      <c r="AQ166" s="9">
        <f>SUM(AQ145:AQ165)</f>
        <v>2105076</v>
      </c>
      <c r="AR166" s="9">
        <f t="shared" ref="AR166:AV166" si="455">SUM(AR145:AR165)</f>
        <v>1981886.4521600751</v>
      </c>
      <c r="AS166" s="9">
        <f t="shared" si="455"/>
        <v>2098171.2664322704</v>
      </c>
      <c r="AT166" s="9">
        <f t="shared" si="455"/>
        <v>2309441.0676166168</v>
      </c>
      <c r="AU166" s="9">
        <f t="shared" si="455"/>
        <v>2571704.6031469209</v>
      </c>
      <c r="AV166" s="9">
        <f t="shared" si="455"/>
        <v>2880108.5619477271</v>
      </c>
    </row>
    <row r="167" spans="2:48" ht="15" x14ac:dyDescent="0.25">
      <c r="B167" s="19" t="s">
        <v>124</v>
      </c>
      <c r="C167" s="66"/>
      <c r="D167" s="66"/>
      <c r="E167" s="66"/>
      <c r="F167" s="66"/>
      <c r="G167" s="66"/>
      <c r="H167" s="66"/>
      <c r="I167" s="66"/>
      <c r="J167" s="66"/>
      <c r="K167" s="66"/>
      <c r="L167" s="66"/>
      <c r="M167" s="66"/>
      <c r="N167" s="66"/>
      <c r="O167" s="66"/>
      <c r="P167" s="66"/>
      <c r="Q167" s="66"/>
      <c r="R167" s="66"/>
      <c r="AN167" s="9"/>
      <c r="AO167" s="9"/>
      <c r="AP167" s="9"/>
      <c r="AQ167" s="9"/>
    </row>
    <row r="168" spans="2:48" x14ac:dyDescent="0.2">
      <c r="B168" s="8" t="s">
        <v>125</v>
      </c>
      <c r="C168" s="66"/>
      <c r="D168" s="66"/>
      <c r="E168" s="66"/>
      <c r="F168" s="66"/>
      <c r="G168" s="66"/>
      <c r="H168" s="66"/>
      <c r="I168" s="66"/>
      <c r="J168" s="66"/>
      <c r="K168" s="66"/>
      <c r="L168" s="66"/>
      <c r="M168" s="66"/>
      <c r="N168" s="66"/>
      <c r="O168" s="66"/>
      <c r="P168" s="66"/>
      <c r="Q168" s="66"/>
      <c r="R168" s="66"/>
      <c r="AN168" s="9">
        <v>-442475</v>
      </c>
      <c r="AO168" s="9">
        <v>-479164</v>
      </c>
      <c r="AP168" s="9">
        <v>-560731</v>
      </c>
      <c r="AQ168" s="9">
        <v>-593603</v>
      </c>
      <c r="AR168" s="46">
        <f>AR217</f>
        <v>-691905.67650717474</v>
      </c>
      <c r="AS168" s="46">
        <f t="shared" ref="AS168:AV168" si="456">AS217</f>
        <v>-758922.24942884443</v>
      </c>
      <c r="AT168" s="46">
        <f t="shared" si="456"/>
        <v>-829374.33265485149</v>
      </c>
      <c r="AU168" s="46">
        <f t="shared" si="456"/>
        <v>-902546.99720596359</v>
      </c>
      <c r="AV168" s="46">
        <f t="shared" si="456"/>
        <v>-987823.09152049944</v>
      </c>
    </row>
    <row r="169" spans="2:48" x14ac:dyDescent="0.2">
      <c r="B169" s="8" t="s">
        <v>126</v>
      </c>
      <c r="C169" s="66"/>
      <c r="D169" s="66"/>
      <c r="E169" s="66"/>
      <c r="F169" s="66"/>
      <c r="G169" s="66"/>
      <c r="H169" s="66"/>
      <c r="I169" s="66"/>
      <c r="J169" s="66"/>
      <c r="K169" s="66"/>
      <c r="L169" s="66"/>
      <c r="M169" s="66"/>
      <c r="N169" s="66"/>
      <c r="O169" s="66"/>
      <c r="P169" s="66"/>
      <c r="Q169" s="66"/>
      <c r="R169" s="66"/>
      <c r="AN169" s="9">
        <v>-429350</v>
      </c>
      <c r="AO169" s="9">
        <v>-614416</v>
      </c>
      <c r="AP169" s="9">
        <v>-1115131</v>
      </c>
      <c r="AQ169" s="9">
        <v>-986673</v>
      </c>
      <c r="AR169" s="46">
        <v>0</v>
      </c>
      <c r="AS169" s="46">
        <v>0</v>
      </c>
      <c r="AT169" s="46">
        <v>0</v>
      </c>
      <c r="AU169" s="46">
        <v>0</v>
      </c>
      <c r="AV169" s="46">
        <v>0</v>
      </c>
    </row>
    <row r="170" spans="2:48" x14ac:dyDescent="0.2">
      <c r="B170" s="8" t="s">
        <v>127</v>
      </c>
      <c r="C170" s="66"/>
      <c r="D170" s="66"/>
      <c r="E170" s="66"/>
      <c r="F170" s="66"/>
      <c r="G170" s="66"/>
      <c r="H170" s="66"/>
      <c r="I170" s="66"/>
      <c r="J170" s="66"/>
      <c r="K170" s="66"/>
      <c r="L170" s="66"/>
      <c r="M170" s="66"/>
      <c r="N170" s="66"/>
      <c r="O170" s="66"/>
      <c r="P170" s="66"/>
      <c r="Q170" s="66"/>
      <c r="R170" s="66"/>
      <c r="AN170" s="9">
        <v>345748</v>
      </c>
      <c r="AO170" s="9">
        <v>263548</v>
      </c>
      <c r="AP170" s="9">
        <v>729853</v>
      </c>
      <c r="AQ170" s="9">
        <v>722637</v>
      </c>
      <c r="AR170" s="46">
        <v>0</v>
      </c>
      <c r="AS170" s="46">
        <v>0</v>
      </c>
      <c r="AT170" s="46">
        <v>0</v>
      </c>
      <c r="AU170" s="46">
        <v>0</v>
      </c>
      <c r="AV170" s="46">
        <v>0</v>
      </c>
    </row>
    <row r="171" spans="2:48" x14ac:dyDescent="0.2">
      <c r="B171" s="8" t="s">
        <v>128</v>
      </c>
      <c r="C171" s="66"/>
      <c r="D171" s="66"/>
      <c r="E171" s="66"/>
      <c r="F171" s="66"/>
      <c r="G171" s="66"/>
      <c r="H171" s="66"/>
      <c r="I171" s="66"/>
      <c r="J171" s="66"/>
      <c r="K171" s="66"/>
      <c r="L171" s="66"/>
      <c r="M171" s="66"/>
      <c r="N171" s="66"/>
      <c r="O171" s="66"/>
      <c r="P171" s="66"/>
      <c r="Q171" s="66"/>
      <c r="R171" s="66"/>
      <c r="AN171" s="9">
        <v>4035</v>
      </c>
      <c r="AO171" s="9">
        <v>0</v>
      </c>
      <c r="AP171" s="9">
        <v>0</v>
      </c>
      <c r="AQ171" s="9">
        <v>20113</v>
      </c>
      <c r="AR171" s="96">
        <v>0</v>
      </c>
      <c r="AS171" s="96">
        <v>0</v>
      </c>
      <c r="AT171" s="96">
        <v>0</v>
      </c>
      <c r="AU171" s="96">
        <v>0</v>
      </c>
      <c r="AV171" s="96">
        <v>0</v>
      </c>
    </row>
    <row r="172" spans="2:48" x14ac:dyDescent="0.2">
      <c r="B172" s="8" t="s">
        <v>129</v>
      </c>
      <c r="C172" s="66"/>
      <c r="D172" s="66"/>
      <c r="E172" s="66"/>
      <c r="F172" s="66"/>
      <c r="G172" s="66"/>
      <c r="H172" s="66"/>
      <c r="I172" s="66"/>
      <c r="J172" s="66"/>
      <c r="K172" s="66"/>
      <c r="L172" s="66"/>
      <c r="M172" s="66"/>
      <c r="N172" s="66"/>
      <c r="O172" s="66"/>
      <c r="P172" s="66"/>
      <c r="Q172" s="66"/>
      <c r="R172" s="66"/>
      <c r="AN172" s="9">
        <f t="shared" ref="AN172:AP172" si="457">SUM(AN168:AN171)</f>
        <v>-522042</v>
      </c>
      <c r="AO172" s="9">
        <f t="shared" si="457"/>
        <v>-830032</v>
      </c>
      <c r="AP172" s="9">
        <f t="shared" si="457"/>
        <v>-946009</v>
      </c>
      <c r="AQ172" s="9">
        <f>SUM(AQ168:AQ171)</f>
        <v>-837526</v>
      </c>
      <c r="AR172" s="9">
        <f t="shared" ref="AR172:AV172" si="458">SUM(AR168:AR171)</f>
        <v>-691905.67650717474</v>
      </c>
      <c r="AS172" s="9">
        <f t="shared" si="458"/>
        <v>-758922.24942884443</v>
      </c>
      <c r="AT172" s="9">
        <f t="shared" si="458"/>
        <v>-829374.33265485149</v>
      </c>
      <c r="AU172" s="9">
        <f t="shared" si="458"/>
        <v>-902546.99720596359</v>
      </c>
      <c r="AV172" s="9">
        <f t="shared" si="458"/>
        <v>-987823.09152049944</v>
      </c>
    </row>
    <row r="173" spans="2:48" ht="15" x14ac:dyDescent="0.25">
      <c r="B173" s="19" t="s">
        <v>130</v>
      </c>
      <c r="C173" s="66"/>
      <c r="D173" s="66"/>
      <c r="E173" s="66"/>
      <c r="F173" s="66"/>
      <c r="G173" s="66"/>
      <c r="H173" s="66"/>
      <c r="I173" s="66"/>
      <c r="J173" s="66"/>
      <c r="K173" s="66"/>
      <c r="L173" s="66"/>
      <c r="M173" s="66"/>
      <c r="N173" s="66"/>
      <c r="O173" s="66"/>
      <c r="P173" s="66"/>
      <c r="Q173" s="66"/>
      <c r="R173" s="66"/>
      <c r="AN173" s="9"/>
      <c r="AO173" s="9"/>
      <c r="AP173" s="9"/>
      <c r="AQ173" s="9"/>
    </row>
    <row r="174" spans="2:48" x14ac:dyDescent="0.2">
      <c r="B174" s="8" t="s">
        <v>131</v>
      </c>
      <c r="C174" s="66"/>
      <c r="D174" s="66"/>
      <c r="E174" s="66"/>
      <c r="F174" s="66"/>
      <c r="G174" s="66"/>
      <c r="H174" s="66"/>
      <c r="I174" s="66"/>
      <c r="J174" s="66"/>
      <c r="K174" s="66"/>
      <c r="L174" s="66"/>
      <c r="M174" s="66"/>
      <c r="N174" s="66"/>
      <c r="O174" s="66"/>
      <c r="P174" s="66"/>
      <c r="Q174" s="66"/>
      <c r="R174" s="66"/>
      <c r="AN174" s="9">
        <v>-466462</v>
      </c>
      <c r="AO174" s="9">
        <v>-830140</v>
      </c>
      <c r="AP174" s="9">
        <v>-592349</v>
      </c>
      <c r="AQ174" s="9">
        <v>-1001559</v>
      </c>
      <c r="AR174" s="309">
        <v>-500000</v>
      </c>
      <c r="AS174" s="309">
        <f>AR174</f>
        <v>-500000</v>
      </c>
      <c r="AT174" s="309">
        <f t="shared" ref="AT174:AV174" si="459">AS174</f>
        <v>-500000</v>
      </c>
      <c r="AU174" s="309">
        <f t="shared" si="459"/>
        <v>-500000</v>
      </c>
      <c r="AV174" s="309">
        <f t="shared" si="459"/>
        <v>-500000</v>
      </c>
    </row>
    <row r="175" spans="2:48" x14ac:dyDescent="0.2">
      <c r="B175" s="8" t="s">
        <v>132</v>
      </c>
      <c r="C175" s="66"/>
      <c r="D175" s="66"/>
      <c r="E175" s="66"/>
      <c r="F175" s="66"/>
      <c r="G175" s="66"/>
      <c r="H175" s="66"/>
      <c r="I175" s="66"/>
      <c r="J175" s="66"/>
      <c r="K175" s="66"/>
      <c r="L175" s="66"/>
      <c r="M175" s="66"/>
      <c r="N175" s="66"/>
      <c r="O175" s="66"/>
      <c r="P175" s="66"/>
      <c r="Q175" s="66"/>
      <c r="R175" s="66"/>
      <c r="AN175" s="9">
        <v>-79870</v>
      </c>
      <c r="AO175" s="9">
        <v>-98970</v>
      </c>
      <c r="AP175" s="9">
        <v>-69146</v>
      </c>
      <c r="AQ175" s="9">
        <v>-74229</v>
      </c>
      <c r="AR175" s="96">
        <v>0</v>
      </c>
      <c r="AS175" s="96">
        <v>0</v>
      </c>
      <c r="AT175" s="96">
        <v>0</v>
      </c>
      <c r="AU175" s="96">
        <v>0</v>
      </c>
      <c r="AV175" s="96">
        <v>0</v>
      </c>
    </row>
    <row r="176" spans="2:48" x14ac:dyDescent="0.2">
      <c r="B176" s="8" t="s">
        <v>133</v>
      </c>
      <c r="C176" s="66"/>
      <c r="D176" s="66"/>
      <c r="E176" s="66"/>
      <c r="F176" s="66"/>
      <c r="G176" s="66"/>
      <c r="H176" s="66"/>
      <c r="I176" s="66"/>
      <c r="J176" s="66"/>
      <c r="K176" s="66"/>
      <c r="L176" s="66"/>
      <c r="M176" s="66"/>
      <c r="N176" s="66"/>
      <c r="O176" s="66"/>
      <c r="P176" s="66"/>
      <c r="Q176" s="66"/>
      <c r="R176" s="66"/>
      <c r="AN176" s="9">
        <v>-2274</v>
      </c>
      <c r="AO176" s="9">
        <v>-294</v>
      </c>
      <c r="AP176" s="9">
        <v>843</v>
      </c>
      <c r="AQ176" s="9">
        <v>2089</v>
      </c>
      <c r="AR176" s="96">
        <v>0</v>
      </c>
      <c r="AS176" s="96">
        <v>0</v>
      </c>
      <c r="AT176" s="96">
        <v>0</v>
      </c>
      <c r="AU176" s="96">
        <v>0</v>
      </c>
      <c r="AV176" s="96">
        <v>0</v>
      </c>
    </row>
    <row r="177" spans="2:48" x14ac:dyDescent="0.2">
      <c r="B177" s="8" t="s">
        <v>134</v>
      </c>
      <c r="C177" s="66"/>
      <c r="D177" s="66"/>
      <c r="E177" s="66"/>
      <c r="F177" s="66"/>
      <c r="G177" s="66"/>
      <c r="H177" s="66"/>
      <c r="I177" s="66"/>
      <c r="J177" s="66"/>
      <c r="K177" s="66"/>
      <c r="L177" s="66"/>
      <c r="M177" s="66"/>
      <c r="N177" s="66"/>
      <c r="O177" s="66"/>
      <c r="P177" s="66"/>
      <c r="Q177" s="66"/>
      <c r="R177" s="66"/>
      <c r="AN177" s="9">
        <f t="shared" ref="AN177:AP177" si="460">SUM(AN174:AN176)</f>
        <v>-548606</v>
      </c>
      <c r="AO177" s="9">
        <f t="shared" si="460"/>
        <v>-929404</v>
      </c>
      <c r="AP177" s="9">
        <f t="shared" si="460"/>
        <v>-660652</v>
      </c>
      <c r="AQ177" s="9">
        <f>SUM(AQ174:AQ176)</f>
        <v>-1073699</v>
      </c>
      <c r="AR177" s="9">
        <f t="shared" ref="AR177:AV177" si="461">SUM(AR174:AR176)</f>
        <v>-500000</v>
      </c>
      <c r="AS177" s="9">
        <f t="shared" si="461"/>
        <v>-500000</v>
      </c>
      <c r="AT177" s="9">
        <f t="shared" si="461"/>
        <v>-500000</v>
      </c>
      <c r="AU177" s="9">
        <f t="shared" si="461"/>
        <v>-500000</v>
      </c>
      <c r="AV177" s="9">
        <f t="shared" si="461"/>
        <v>-500000</v>
      </c>
    </row>
    <row r="179" spans="2:48" x14ac:dyDescent="0.2">
      <c r="B179" s="8" t="s">
        <v>135</v>
      </c>
      <c r="C179" s="66"/>
      <c r="D179" s="66"/>
      <c r="E179" s="66"/>
      <c r="F179" s="66"/>
      <c r="G179" s="66"/>
      <c r="H179" s="66"/>
      <c r="I179" s="66"/>
      <c r="J179" s="66"/>
      <c r="K179" s="66"/>
      <c r="L179" s="66"/>
      <c r="M179" s="66"/>
      <c r="N179" s="66"/>
      <c r="O179" s="66"/>
      <c r="P179" s="66"/>
      <c r="Q179" s="66"/>
      <c r="R179" s="66"/>
      <c r="AN179" s="9">
        <v>-1039</v>
      </c>
      <c r="AO179" s="9">
        <v>-1007</v>
      </c>
      <c r="AP179" s="9">
        <v>381</v>
      </c>
      <c r="AQ179" s="9">
        <v>-1635</v>
      </c>
      <c r="AR179" s="96">
        <v>0</v>
      </c>
      <c r="AS179" s="96">
        <v>0</v>
      </c>
      <c r="AT179" s="96">
        <v>0</v>
      </c>
      <c r="AU179" s="96">
        <v>0</v>
      </c>
      <c r="AV179" s="96">
        <v>0</v>
      </c>
    </row>
    <row r="180" spans="2:48" x14ac:dyDescent="0.2">
      <c r="B180" s="8" t="s">
        <v>136</v>
      </c>
      <c r="C180" s="66"/>
      <c r="D180" s="66"/>
      <c r="E180" s="66"/>
      <c r="F180" s="66"/>
      <c r="G180" s="66"/>
      <c r="H180" s="66"/>
      <c r="I180" s="66"/>
      <c r="J180" s="66"/>
      <c r="K180" s="66"/>
      <c r="L180" s="66"/>
      <c r="M180" s="66"/>
      <c r="N180" s="66"/>
      <c r="O180" s="66"/>
      <c r="P180" s="66"/>
      <c r="Q180" s="66"/>
      <c r="R180" s="66"/>
      <c r="AN180" s="9">
        <v>210394</v>
      </c>
      <c r="AO180" s="9">
        <v>-437264</v>
      </c>
      <c r="AP180" s="9">
        <v>177197</v>
      </c>
      <c r="AQ180" s="9">
        <v>192216</v>
      </c>
      <c r="AR180" s="46">
        <f>AR166+AR172+AR177</f>
        <v>789980.77565290034</v>
      </c>
      <c r="AS180" s="46">
        <f t="shared" ref="AS180:AV180" si="462">AS166+AS172+AS177</f>
        <v>839249.01700342586</v>
      </c>
      <c r="AT180" s="46">
        <f t="shared" si="462"/>
        <v>980066.73496176535</v>
      </c>
      <c r="AU180" s="46">
        <f t="shared" si="462"/>
        <v>1169157.6059409573</v>
      </c>
      <c r="AV180" s="46">
        <f t="shared" si="462"/>
        <v>1392285.4704272277</v>
      </c>
    </row>
    <row r="181" spans="2:48" x14ac:dyDescent="0.2">
      <c r="B181" s="8" t="s">
        <v>137</v>
      </c>
      <c r="C181" s="66"/>
      <c r="D181" s="66"/>
      <c r="E181" s="66"/>
      <c r="F181" s="66"/>
      <c r="G181" s="66"/>
      <c r="H181" s="66"/>
      <c r="I181" s="66"/>
      <c r="J181" s="66"/>
      <c r="K181" s="66"/>
      <c r="L181" s="66"/>
      <c r="M181" s="66"/>
      <c r="N181" s="66"/>
      <c r="O181" s="66"/>
      <c r="P181" s="66"/>
      <c r="Q181" s="66"/>
      <c r="R181" s="66"/>
      <c r="AN181" s="9">
        <v>635836</v>
      </c>
      <c r="AO181" s="9">
        <v>846230</v>
      </c>
      <c r="AP181" s="9">
        <v>408966</v>
      </c>
      <c r="AQ181" s="9">
        <v>586163</v>
      </c>
      <c r="AR181" s="17">
        <f>AQ182</f>
        <v>778379</v>
      </c>
      <c r="AS181" s="17">
        <f t="shared" ref="AS181:AV181" si="463">AR182</f>
        <v>1568359.7756529003</v>
      </c>
      <c r="AT181" s="17">
        <f t="shared" si="463"/>
        <v>2407608.7926563262</v>
      </c>
      <c r="AU181" s="17">
        <f t="shared" si="463"/>
        <v>3387675.5276180916</v>
      </c>
      <c r="AV181" s="17">
        <f t="shared" si="463"/>
        <v>4556833.1335590491</v>
      </c>
    </row>
    <row r="182" spans="2:48" x14ac:dyDescent="0.2">
      <c r="B182" s="8" t="s">
        <v>138</v>
      </c>
      <c r="C182" s="66"/>
      <c r="D182" s="66"/>
      <c r="E182" s="66"/>
      <c r="F182" s="66"/>
      <c r="G182" s="66"/>
      <c r="H182" s="66"/>
      <c r="I182" s="66"/>
      <c r="J182" s="66"/>
      <c r="K182" s="66"/>
      <c r="L182" s="66"/>
      <c r="M182" s="66"/>
      <c r="N182" s="66"/>
      <c r="O182" s="66"/>
      <c r="P182" s="66"/>
      <c r="Q182" s="66"/>
      <c r="R182" s="66"/>
      <c r="AN182" s="10">
        <v>846230</v>
      </c>
      <c r="AO182" s="10">
        <v>408966</v>
      </c>
      <c r="AP182" s="10">
        <v>586163</v>
      </c>
      <c r="AQ182" s="10">
        <v>778379</v>
      </c>
      <c r="AR182" s="46">
        <f>SUM(AR179:AR181)</f>
        <v>1568359.7756529003</v>
      </c>
      <c r="AS182" s="46">
        <f t="shared" ref="AS182:AV182" si="464">SUM(AS179:AS181)</f>
        <v>2407608.7926563262</v>
      </c>
      <c r="AT182" s="46">
        <f t="shared" si="464"/>
        <v>3387675.5276180916</v>
      </c>
      <c r="AU182" s="46">
        <f t="shared" si="464"/>
        <v>4556833.1335590491</v>
      </c>
      <c r="AV182" s="46">
        <f t="shared" si="464"/>
        <v>5949118.6039862763</v>
      </c>
    </row>
    <row r="184" spans="2:48" ht="15" x14ac:dyDescent="0.25">
      <c r="B184" s="22" t="s">
        <v>231</v>
      </c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  <c r="AK184" s="23"/>
      <c r="AL184" s="23"/>
      <c r="AN184" s="22"/>
      <c r="AO184" s="22"/>
      <c r="AP184" s="22"/>
      <c r="AQ184" s="22"/>
      <c r="AR184" s="22"/>
      <c r="AS184" s="22"/>
      <c r="AT184" s="22"/>
      <c r="AU184" s="22"/>
      <c r="AV184" s="22"/>
    </row>
    <row r="186" spans="2:48" x14ac:dyDescent="0.2">
      <c r="AM186" s="93">
        <v>44196</v>
      </c>
      <c r="AN186" s="93">
        <v>44561</v>
      </c>
      <c r="AO186" s="93">
        <v>44926</v>
      </c>
      <c r="AP186" s="93">
        <v>45291</v>
      </c>
      <c r="AQ186" s="93">
        <v>45657</v>
      </c>
      <c r="AR186" s="93">
        <v>46022</v>
      </c>
      <c r="AS186" s="93">
        <v>46387</v>
      </c>
      <c r="AT186" s="93">
        <v>46752</v>
      </c>
      <c r="AU186" s="93">
        <v>47118</v>
      </c>
      <c r="AV186" s="93">
        <v>47483</v>
      </c>
    </row>
    <row r="187" spans="2:48" x14ac:dyDescent="0.2">
      <c r="B187" s="4" t="s">
        <v>242</v>
      </c>
      <c r="AN187" s="46">
        <f t="shared" ref="AN187:AP187" si="465">AN186-AM186</f>
        <v>365</v>
      </c>
      <c r="AO187" s="46">
        <f t="shared" si="465"/>
        <v>365</v>
      </c>
      <c r="AP187" s="46">
        <f t="shared" si="465"/>
        <v>365</v>
      </c>
      <c r="AQ187" s="46">
        <f>AQ186-AP186</f>
        <v>366</v>
      </c>
      <c r="AR187" s="46">
        <f t="shared" ref="AR187:AV187" si="466">AR186-AQ186</f>
        <v>365</v>
      </c>
      <c r="AS187" s="46">
        <f t="shared" si="466"/>
        <v>365</v>
      </c>
      <c r="AT187" s="46">
        <f t="shared" si="466"/>
        <v>365</v>
      </c>
      <c r="AU187" s="46">
        <f t="shared" si="466"/>
        <v>366</v>
      </c>
      <c r="AV187" s="46">
        <f t="shared" si="466"/>
        <v>365</v>
      </c>
    </row>
    <row r="189" spans="2:48" x14ac:dyDescent="0.2">
      <c r="B189" s="4" t="s">
        <v>161</v>
      </c>
      <c r="AN189" s="46">
        <f t="shared" ref="AN189:AV189" si="467">AN38</f>
        <v>7547061</v>
      </c>
      <c r="AO189" s="46">
        <f t="shared" si="467"/>
        <v>8634652</v>
      </c>
      <c r="AP189" s="46">
        <f t="shared" si="467"/>
        <v>9871649</v>
      </c>
      <c r="AQ189" s="46">
        <f t="shared" si="467"/>
        <v>11313851</v>
      </c>
      <c r="AR189" s="46">
        <f t="shared" si="467"/>
        <v>12389140.532803543</v>
      </c>
      <c r="AS189" s="46">
        <f t="shared" si="467"/>
        <v>13589127.421399092</v>
      </c>
      <c r="AT189" s="46">
        <f t="shared" si="467"/>
        <v>14850629.949203143</v>
      </c>
      <c r="AU189" s="46">
        <f t="shared" si="467"/>
        <v>16160846.724500865</v>
      </c>
      <c r="AV189" s="46">
        <f t="shared" si="467"/>
        <v>17687785.370075684</v>
      </c>
    </row>
    <row r="190" spans="2:48" x14ac:dyDescent="0.2">
      <c r="B190" s="4" t="s">
        <v>236</v>
      </c>
      <c r="AN190" s="46">
        <f t="shared" ref="AN190:AV190" si="468">AN57</f>
        <v>6742118</v>
      </c>
      <c r="AO190" s="46">
        <f t="shared" si="468"/>
        <v>7474249</v>
      </c>
      <c r="AP190" s="46">
        <f t="shared" si="468"/>
        <v>8313836</v>
      </c>
      <c r="AQ190" s="46">
        <f t="shared" si="468"/>
        <v>9397518</v>
      </c>
      <c r="AR190" s="46">
        <f t="shared" si="468"/>
        <v>10452330.531866353</v>
      </c>
      <c r="AS190" s="46">
        <f t="shared" si="468"/>
        <v>11581826.791051421</v>
      </c>
      <c r="AT190" s="46">
        <f t="shared" si="468"/>
        <v>12627832.246792044</v>
      </c>
      <c r="AU190" s="46">
        <f t="shared" si="468"/>
        <v>13657303.16956318</v>
      </c>
      <c r="AV190" s="46">
        <f t="shared" si="468"/>
        <v>14865645.983252289</v>
      </c>
    </row>
    <row r="192" spans="2:48" x14ac:dyDescent="0.2">
      <c r="B192" s="8" t="s">
        <v>77</v>
      </c>
      <c r="AN192" s="17">
        <f>AN102</f>
        <v>99599</v>
      </c>
      <c r="AO192" s="17">
        <f>AO102</f>
        <v>106880</v>
      </c>
      <c r="AP192" s="17">
        <f>AP102</f>
        <v>115535</v>
      </c>
      <c r="AQ192" s="17">
        <f>AQ102</f>
        <v>143963</v>
      </c>
      <c r="AR192" s="17">
        <f>AR193*AR$189/AR$187</f>
        <v>154982.45324208165</v>
      </c>
      <c r="AS192" s="17">
        <f t="shared" ref="AS192:AV192" si="469">AS193*AS$189/AS$187</f>
        <v>169993.7376294407</v>
      </c>
      <c r="AT192" s="17">
        <f t="shared" si="469"/>
        <v>185774.55438686564</v>
      </c>
      <c r="AU192" s="17">
        <f t="shared" si="469"/>
        <v>201612.40124518625</v>
      </c>
      <c r="AV192" s="17">
        <f t="shared" si="469"/>
        <v>221266.06456803199</v>
      </c>
    </row>
    <row r="193" spans="2:48" x14ac:dyDescent="0.2">
      <c r="B193" s="26" t="s">
        <v>233</v>
      </c>
      <c r="AN193" s="91">
        <f>AN192/AN$189*AN$187</f>
        <v>4.8169260855318381</v>
      </c>
      <c r="AO193" s="91">
        <f t="shared" ref="AO193:AQ193" si="470">AO192/AO$189*AO$187</f>
        <v>4.517981732211096</v>
      </c>
      <c r="AP193" s="91">
        <f t="shared" si="470"/>
        <v>4.2718572145342684</v>
      </c>
      <c r="AQ193" s="91">
        <f t="shared" si="470"/>
        <v>4.6571638604750936</v>
      </c>
      <c r="AR193" s="92">
        <f>AVERAGE(AN193:AQ193)</f>
        <v>4.5659822231880742</v>
      </c>
      <c r="AS193" s="92">
        <f>AR193</f>
        <v>4.5659822231880742</v>
      </c>
      <c r="AT193" s="92">
        <f t="shared" ref="AT193:AV199" si="471">AS193</f>
        <v>4.5659822231880742</v>
      </c>
      <c r="AU193" s="92">
        <f t="shared" si="471"/>
        <v>4.5659822231880742</v>
      </c>
      <c r="AV193" s="92">
        <f t="shared" si="471"/>
        <v>4.5659822231880742</v>
      </c>
    </row>
    <row r="194" spans="2:48" x14ac:dyDescent="0.2">
      <c r="B194" s="8" t="s">
        <v>78</v>
      </c>
      <c r="AN194" s="46">
        <f>AN103</f>
        <v>32826</v>
      </c>
      <c r="AO194" s="46">
        <f>AO103</f>
        <v>35668</v>
      </c>
      <c r="AP194" s="46">
        <f>AP103</f>
        <v>39309</v>
      </c>
      <c r="AQ194" s="46">
        <f>AQ103</f>
        <v>48942</v>
      </c>
      <c r="AR194" s="46">
        <f>AR195*AR$190/AR$187</f>
        <v>51193.676090075103</v>
      </c>
      <c r="AS194" s="46">
        <f t="shared" ref="AS194:AV194" si="472">AS195*AS$190/AS$187</f>
        <v>56725.75005782659</v>
      </c>
      <c r="AT194" s="46">
        <f t="shared" si="472"/>
        <v>61848.900758656491</v>
      </c>
      <c r="AU194" s="46">
        <f t="shared" si="472"/>
        <v>66708.305744393554</v>
      </c>
      <c r="AV194" s="46">
        <f t="shared" si="472"/>
        <v>72809.318746300283</v>
      </c>
    </row>
    <row r="195" spans="2:48" x14ac:dyDescent="0.2">
      <c r="B195" s="26" t="s">
        <v>232</v>
      </c>
      <c r="AN195" s="91">
        <f>AN194/AN$190*AN$187</f>
        <v>1.7771106942951755</v>
      </c>
      <c r="AO195" s="91">
        <f t="shared" ref="AO195:AQ195" si="473">AO194/AO$190*AO$187</f>
        <v>1.741823158420331</v>
      </c>
      <c r="AP195" s="91">
        <f t="shared" si="473"/>
        <v>1.7257719541256287</v>
      </c>
      <c r="AQ195" s="91">
        <f t="shared" si="473"/>
        <v>1.9061173386419692</v>
      </c>
      <c r="AR195" s="92">
        <f>AVERAGE(AN195:AQ195)</f>
        <v>1.7877057863707764</v>
      </c>
      <c r="AS195" s="92">
        <f>AR195</f>
        <v>1.7877057863707764</v>
      </c>
      <c r="AT195" s="92">
        <f t="shared" si="471"/>
        <v>1.7877057863707764</v>
      </c>
      <c r="AU195" s="92">
        <f t="shared" si="471"/>
        <v>1.7877057863707764</v>
      </c>
      <c r="AV195" s="92">
        <f t="shared" si="471"/>
        <v>1.7877057863707764</v>
      </c>
    </row>
    <row r="196" spans="2:48" x14ac:dyDescent="0.2">
      <c r="B196" s="8" t="s">
        <v>79</v>
      </c>
      <c r="AN196" s="46">
        <f>AN104</f>
        <v>78756</v>
      </c>
      <c r="AO196" s="46">
        <f>AO104</f>
        <v>86412</v>
      </c>
      <c r="AP196" s="46">
        <f>AP104</f>
        <v>117462</v>
      </c>
      <c r="AQ196" s="46">
        <f>AQ104</f>
        <v>97538</v>
      </c>
      <c r="AR196" s="46">
        <f>AR197*AR189</f>
        <v>126873.91062785829</v>
      </c>
      <c r="AS196" s="46">
        <f t="shared" ref="AS196:AV196" si="474">AS197*AS189</f>
        <v>139162.65889535588</v>
      </c>
      <c r="AT196" s="46">
        <f t="shared" si="474"/>
        <v>152081.37254991883</v>
      </c>
      <c r="AU196" s="46">
        <f t="shared" si="474"/>
        <v>165498.95592562592</v>
      </c>
      <c r="AV196" s="46">
        <f t="shared" si="474"/>
        <v>181135.93064069469</v>
      </c>
    </row>
    <row r="197" spans="2:48" x14ac:dyDescent="0.2">
      <c r="B197" s="26" t="s">
        <v>234</v>
      </c>
      <c r="AN197" s="31">
        <f>AN196/AN189</f>
        <v>1.0435320451232607E-2</v>
      </c>
      <c r="AO197" s="31">
        <f t="shared" ref="AO197:AQ197" si="475">AO196/AO189</f>
        <v>1.0007583397686438E-2</v>
      </c>
      <c r="AP197" s="31">
        <f t="shared" si="475"/>
        <v>1.1898923877864783E-2</v>
      </c>
      <c r="AQ197" s="31">
        <f t="shared" si="475"/>
        <v>8.6211140662891886E-3</v>
      </c>
      <c r="AR197" s="49">
        <f>AVERAGE(AN197:AQ197)</f>
        <v>1.0240735448268255E-2</v>
      </c>
      <c r="AS197" s="49">
        <f>AR197</f>
        <v>1.0240735448268255E-2</v>
      </c>
      <c r="AT197" s="49">
        <f t="shared" si="471"/>
        <v>1.0240735448268255E-2</v>
      </c>
      <c r="AU197" s="49">
        <f t="shared" si="471"/>
        <v>1.0240735448268255E-2</v>
      </c>
      <c r="AV197" s="49">
        <f t="shared" si="471"/>
        <v>1.0240735448268255E-2</v>
      </c>
    </row>
    <row r="198" spans="2:48" x14ac:dyDescent="0.2">
      <c r="B198" s="8" t="s">
        <v>80</v>
      </c>
      <c r="AN198" s="46">
        <f>AN105</f>
        <v>94064</v>
      </c>
      <c r="AO198" s="46">
        <f>AO105</f>
        <v>47741</v>
      </c>
      <c r="AP198" s="46">
        <f>AP105</f>
        <v>52960</v>
      </c>
      <c r="AQ198" s="46">
        <f>AQ105</f>
        <v>67229</v>
      </c>
      <c r="AR198" s="46">
        <f>AR199*AR189</f>
        <v>90749.539535146556</v>
      </c>
      <c r="AS198" s="46">
        <f t="shared" ref="AS198:AV198" si="476">AS199*AS189</f>
        <v>99539.354881894964</v>
      </c>
      <c r="AT198" s="46">
        <f t="shared" si="476"/>
        <v>108779.76774326518</v>
      </c>
      <c r="AU198" s="46">
        <f t="shared" si="476"/>
        <v>118377.00887025615</v>
      </c>
      <c r="AV198" s="46">
        <f t="shared" si="476"/>
        <v>129561.72169334802</v>
      </c>
    </row>
    <row r="199" spans="2:48" x14ac:dyDescent="0.2">
      <c r="B199" s="26" t="s">
        <v>234</v>
      </c>
      <c r="AN199" s="31">
        <f>AN198/AN189</f>
        <v>1.246365969481365E-2</v>
      </c>
      <c r="AO199" s="31">
        <f t="shared" ref="AO199:AQ199" si="477">AO198/AO189</f>
        <v>5.529001052966582E-3</v>
      </c>
      <c r="AP199" s="31">
        <f t="shared" si="477"/>
        <v>5.3648584952726746E-3</v>
      </c>
      <c r="AQ199" s="31">
        <f t="shared" si="477"/>
        <v>5.9421853796731107E-3</v>
      </c>
      <c r="AR199" s="49">
        <f>AVERAGE(AN199:AQ199)</f>
        <v>7.324926155681504E-3</v>
      </c>
      <c r="AS199" s="49">
        <f>AR199</f>
        <v>7.324926155681504E-3</v>
      </c>
      <c r="AT199" s="49">
        <f t="shared" si="471"/>
        <v>7.324926155681504E-3</v>
      </c>
      <c r="AU199" s="49">
        <f t="shared" si="471"/>
        <v>7.324926155681504E-3</v>
      </c>
      <c r="AV199" s="49">
        <f t="shared" si="471"/>
        <v>7.324926155681504E-3</v>
      </c>
    </row>
    <row r="200" spans="2:48" x14ac:dyDescent="0.2">
      <c r="B200" s="8"/>
    </row>
    <row r="201" spans="2:48" x14ac:dyDescent="0.2">
      <c r="B201" s="8" t="s">
        <v>92</v>
      </c>
      <c r="AN201" s="17">
        <f>AN118</f>
        <v>163161</v>
      </c>
      <c r="AO201" s="17">
        <f>AO118</f>
        <v>184566</v>
      </c>
      <c r="AP201" s="17">
        <f>AP118</f>
        <v>197646</v>
      </c>
      <c r="AQ201" s="17">
        <f>AQ118</f>
        <v>210695</v>
      </c>
      <c r="AR201" s="17">
        <f>AR202*AR$190/AR$187</f>
        <v>248631.39439194626</v>
      </c>
      <c r="AS201" s="17">
        <f t="shared" ref="AS201" si="478">AS202*AS$190/AS$187</f>
        <v>275498.91728796461</v>
      </c>
      <c r="AT201" s="17">
        <f t="shared" ref="AT201" si="479">AT202*AT$190/AT$187</f>
        <v>300380.43000032014</v>
      </c>
      <c r="AU201" s="17">
        <f t="shared" ref="AU201" si="480">AU202*AU$190/AU$187</f>
        <v>323981.0137011889</v>
      </c>
      <c r="AV201" s="17">
        <f t="shared" ref="AV201" si="481">AV202*AV$190/AV$187</f>
        <v>353611.69244358822</v>
      </c>
    </row>
    <row r="202" spans="2:48" x14ac:dyDescent="0.2">
      <c r="B202" s="26" t="s">
        <v>237</v>
      </c>
      <c r="AN202" s="91">
        <f>AN201/AN$190*AN$187</f>
        <v>8.833094437089354</v>
      </c>
      <c r="AO202" s="91">
        <f t="shared" ref="AO202:AQ202" si="482">AO201/AO$190*AO$187</f>
        <v>9.0131583788551861</v>
      </c>
      <c r="AP202" s="91">
        <f t="shared" si="482"/>
        <v>8.6771966634896334</v>
      </c>
      <c r="AQ202" s="91">
        <f t="shared" si="482"/>
        <v>8.2058230694530199</v>
      </c>
      <c r="AR202" s="92">
        <f>AVERAGE(AN202:AQ202)</f>
        <v>8.682318137221797</v>
      </c>
      <c r="AS202" s="92">
        <f>AR202</f>
        <v>8.682318137221797</v>
      </c>
      <c r="AT202" s="92">
        <f t="shared" ref="AT202:AV202" si="483">AS202</f>
        <v>8.682318137221797</v>
      </c>
      <c r="AU202" s="92">
        <f t="shared" si="483"/>
        <v>8.682318137221797</v>
      </c>
      <c r="AV202" s="92">
        <f t="shared" si="483"/>
        <v>8.682318137221797</v>
      </c>
    </row>
    <row r="203" spans="2:48" x14ac:dyDescent="0.2">
      <c r="B203" s="8" t="s">
        <v>93</v>
      </c>
      <c r="AN203" s="46">
        <f>AN119</f>
        <v>162405</v>
      </c>
      <c r="AO203" s="46">
        <f>AO119</f>
        <v>170456</v>
      </c>
      <c r="AP203" s="46">
        <f>AP119</f>
        <v>227537</v>
      </c>
      <c r="AQ203" s="46">
        <f>AQ119</f>
        <v>261913</v>
      </c>
      <c r="AR203" s="46">
        <f>AR204*AR$189</f>
        <v>270886.09425413574</v>
      </c>
      <c r="AS203" s="46">
        <f t="shared" ref="AS203:AV203" si="484">AS204*AS$189</f>
        <v>297123.56896411575</v>
      </c>
      <c r="AT203" s="46">
        <f t="shared" si="484"/>
        <v>324706.07089342672</v>
      </c>
      <c r="AU203" s="46">
        <f t="shared" si="484"/>
        <v>353353.70015769283</v>
      </c>
      <c r="AV203" s="46">
        <f t="shared" si="484"/>
        <v>386739.91002191039</v>
      </c>
    </row>
    <row r="204" spans="2:48" x14ac:dyDescent="0.2">
      <c r="B204" s="26" t="s">
        <v>234</v>
      </c>
      <c r="AN204" s="31">
        <f>AN203/AN$189</f>
        <v>2.151897274978962E-2</v>
      </c>
      <c r="AO204" s="31">
        <f t="shared" ref="AO204:AQ204" si="485">AO203/AO$189</f>
        <v>1.9740922969449144E-2</v>
      </c>
      <c r="AP204" s="31">
        <f t="shared" si="485"/>
        <v>2.3049543191821346E-2</v>
      </c>
      <c r="AQ204" s="31">
        <f t="shared" si="485"/>
        <v>2.314976571637721E-2</v>
      </c>
      <c r="AR204" s="49">
        <f>AVERAGE(AN204:AQ204)</f>
        <v>2.1864801156859331E-2</v>
      </c>
      <c r="AS204" s="49">
        <f>AR204</f>
        <v>2.1864801156859331E-2</v>
      </c>
      <c r="AT204" s="49">
        <f t="shared" ref="AT204:AV208" si="486">AS204</f>
        <v>2.1864801156859331E-2</v>
      </c>
      <c r="AU204" s="49">
        <f t="shared" si="486"/>
        <v>2.1864801156859331E-2</v>
      </c>
      <c r="AV204" s="49">
        <f t="shared" si="486"/>
        <v>2.1864801156859331E-2</v>
      </c>
    </row>
    <row r="205" spans="2:48" x14ac:dyDescent="0.2">
      <c r="B205" s="8" t="s">
        <v>94</v>
      </c>
      <c r="AN205" s="46">
        <f>AN120</f>
        <v>173052</v>
      </c>
      <c r="AO205" s="46">
        <f>AO120</f>
        <v>147539</v>
      </c>
      <c r="AP205" s="46">
        <f>AP120</f>
        <v>147688</v>
      </c>
      <c r="AQ205" s="46">
        <f>AQ120</f>
        <v>179747</v>
      </c>
      <c r="AR205" s="46">
        <f>AR206*AR$189</f>
        <v>219488.28728961843</v>
      </c>
      <c r="AS205" s="46">
        <f t="shared" ref="AS205" si="487">AS206*AS$189</f>
        <v>240747.47522525114</v>
      </c>
      <c r="AT205" s="46">
        <f t="shared" ref="AT205" si="488">AT206*AT$189</f>
        <v>263096.48551423033</v>
      </c>
      <c r="AU205" s="46">
        <f t="shared" ref="AU205" si="489">AU206*AU$189</f>
        <v>286308.52635167073</v>
      </c>
      <c r="AV205" s="46">
        <f t="shared" ref="AV205" si="490">AV206*AV$189</f>
        <v>313360.05161495763</v>
      </c>
    </row>
    <row r="206" spans="2:48" x14ac:dyDescent="0.2">
      <c r="B206" s="26" t="s">
        <v>234</v>
      </c>
      <c r="AN206" s="31">
        <f>AN205/AN$189</f>
        <v>2.2929720589246597E-2</v>
      </c>
      <c r="AO206" s="31">
        <f t="shared" ref="AO206" si="491">AO205/AO$189</f>
        <v>1.7086849591622221E-2</v>
      </c>
      <c r="AP206" s="31">
        <f t="shared" ref="AP206" si="492">AP205/AP$189</f>
        <v>1.4960823667859341E-2</v>
      </c>
      <c r="AQ206" s="31">
        <f t="shared" ref="AQ206" si="493">AQ205/AQ$189</f>
        <v>1.5887340216872221E-2</v>
      </c>
      <c r="AR206" s="49">
        <f>AVERAGE(AN206:AQ206)</f>
        <v>1.7716183516400096E-2</v>
      </c>
      <c r="AS206" s="49">
        <f>AR206</f>
        <v>1.7716183516400096E-2</v>
      </c>
      <c r="AT206" s="49">
        <f t="shared" si="486"/>
        <v>1.7716183516400096E-2</v>
      </c>
      <c r="AU206" s="49">
        <f t="shared" si="486"/>
        <v>1.7716183516400096E-2</v>
      </c>
      <c r="AV206" s="49">
        <f t="shared" si="486"/>
        <v>1.7716183516400096E-2</v>
      </c>
    </row>
    <row r="207" spans="2:48" x14ac:dyDescent="0.2">
      <c r="B207" s="8" t="s">
        <v>95</v>
      </c>
      <c r="AN207" s="46">
        <f>AN121</f>
        <v>156351</v>
      </c>
      <c r="AO207" s="46">
        <f>AO121</f>
        <v>183071</v>
      </c>
      <c r="AP207" s="46">
        <f>AP121</f>
        <v>209680</v>
      </c>
      <c r="AQ207" s="46">
        <f>AQ121</f>
        <v>238577</v>
      </c>
      <c r="AR207" s="46">
        <f>AR208*AR$189</f>
        <v>260935.40001713327</v>
      </c>
      <c r="AS207" s="46">
        <f t="shared" ref="AS207" si="494">AS208*AS$189</f>
        <v>286209.07077435235</v>
      </c>
      <c r="AT207" s="46">
        <f t="shared" ref="AT207" si="495">AT208*AT$189</f>
        <v>312778.36069754016</v>
      </c>
      <c r="AU207" s="46">
        <f t="shared" ref="AU207" si="496">AU208*AU$189</f>
        <v>340373.65170794126</v>
      </c>
      <c r="AV207" s="46">
        <f t="shared" ref="AV207" si="497">AV208*AV$189</f>
        <v>372533.45692039566</v>
      </c>
    </row>
    <row r="208" spans="2:48" x14ac:dyDescent="0.2">
      <c r="B208" s="26" t="s">
        <v>234</v>
      </c>
      <c r="AN208" s="31">
        <f>AN207/AN$189</f>
        <v>2.0716806184553165E-2</v>
      </c>
      <c r="AO208" s="31">
        <f t="shared" ref="AO208" si="498">AO207/AO$189</f>
        <v>2.1201896729596052E-2</v>
      </c>
      <c r="AP208" s="31">
        <f t="shared" ref="AP208" si="499">AP207/AP$189</f>
        <v>2.1240625553035769E-2</v>
      </c>
      <c r="AQ208" s="31">
        <f t="shared" ref="AQ208" si="500">AQ207/AQ$189</f>
        <v>2.1087161215045169E-2</v>
      </c>
      <c r="AR208" s="49">
        <f>AVERAGE(AN208:AQ208)</f>
        <v>2.1061622420557539E-2</v>
      </c>
      <c r="AS208" s="49">
        <f>AR208</f>
        <v>2.1061622420557539E-2</v>
      </c>
      <c r="AT208" s="49">
        <f t="shared" si="486"/>
        <v>2.1061622420557539E-2</v>
      </c>
      <c r="AU208" s="49">
        <f t="shared" si="486"/>
        <v>2.1061622420557539E-2</v>
      </c>
      <c r="AV208" s="49">
        <f t="shared" si="486"/>
        <v>2.1061622420557539E-2</v>
      </c>
    </row>
    <row r="209" spans="2:48" x14ac:dyDescent="0.2">
      <c r="B209" s="8"/>
    </row>
    <row r="210" spans="2:48" x14ac:dyDescent="0.2">
      <c r="B210" s="8" t="s">
        <v>239</v>
      </c>
      <c r="AN210" s="17">
        <f>SUM(AN192,AN194,AN196,AN198)</f>
        <v>305245</v>
      </c>
      <c r="AO210" s="17">
        <f t="shared" ref="AO210:AV210" si="501">SUM(AO192,AO194,AO196,AO198)</f>
        <v>276701</v>
      </c>
      <c r="AP210" s="17">
        <f t="shared" si="501"/>
        <v>325266</v>
      </c>
      <c r="AQ210" s="17">
        <f t="shared" si="501"/>
        <v>357672</v>
      </c>
      <c r="AR210" s="17">
        <f t="shared" si="501"/>
        <v>423799.5794951616</v>
      </c>
      <c r="AS210" s="17">
        <f t="shared" si="501"/>
        <v>465421.50146451814</v>
      </c>
      <c r="AT210" s="17">
        <f t="shared" si="501"/>
        <v>508484.59543870616</v>
      </c>
      <c r="AU210" s="17">
        <f t="shared" si="501"/>
        <v>552196.67178546195</v>
      </c>
      <c r="AV210" s="17">
        <f t="shared" si="501"/>
        <v>604773.03564837505</v>
      </c>
    </row>
    <row r="211" spans="2:48" x14ac:dyDescent="0.2">
      <c r="B211" s="8" t="s">
        <v>240</v>
      </c>
      <c r="AN211" s="46">
        <f>-SUM(AN201,AN203,AN205,AN207)</f>
        <v>-654969</v>
      </c>
      <c r="AO211" s="46">
        <f t="shared" ref="AO211:AV211" si="502">-SUM(AO201,AO203,AO205,AO207)</f>
        <v>-685632</v>
      </c>
      <c r="AP211" s="46">
        <f t="shared" si="502"/>
        <v>-782551</v>
      </c>
      <c r="AQ211" s="46">
        <f t="shared" si="502"/>
        <v>-890932</v>
      </c>
      <c r="AR211" s="46">
        <f t="shared" si="502"/>
        <v>-999941.17595283361</v>
      </c>
      <c r="AS211" s="46">
        <f t="shared" si="502"/>
        <v>-1099579.032251684</v>
      </c>
      <c r="AT211" s="46">
        <f t="shared" si="502"/>
        <v>-1200961.3471055173</v>
      </c>
      <c r="AU211" s="46">
        <f t="shared" si="502"/>
        <v>-1304016.8919184937</v>
      </c>
      <c r="AV211" s="46">
        <f t="shared" si="502"/>
        <v>-1426245.1110008517</v>
      </c>
    </row>
    <row r="212" spans="2:48" x14ac:dyDescent="0.2">
      <c r="B212" s="15" t="s">
        <v>238</v>
      </c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  <c r="AM212" s="38"/>
      <c r="AN212" s="94">
        <f>SUM(AN210:AN211)</f>
        <v>-349724</v>
      </c>
      <c r="AO212" s="94">
        <f t="shared" ref="AO212:AV212" si="503">SUM(AO210:AO211)</f>
        <v>-408931</v>
      </c>
      <c r="AP212" s="94">
        <f t="shared" si="503"/>
        <v>-457285</v>
      </c>
      <c r="AQ212" s="94">
        <f t="shared" si="503"/>
        <v>-533260</v>
      </c>
      <c r="AR212" s="94">
        <f t="shared" si="503"/>
        <v>-576141.59645767207</v>
      </c>
      <c r="AS212" s="94">
        <f t="shared" si="503"/>
        <v>-634157.53078716586</v>
      </c>
      <c r="AT212" s="94">
        <f t="shared" si="503"/>
        <v>-692476.75166681106</v>
      </c>
      <c r="AU212" s="94">
        <f t="shared" si="503"/>
        <v>-751820.22013303172</v>
      </c>
      <c r="AV212" s="94">
        <f t="shared" si="503"/>
        <v>-821472.07535247668</v>
      </c>
    </row>
    <row r="213" spans="2:48" x14ac:dyDescent="0.2">
      <c r="B213" s="15" t="s">
        <v>241</v>
      </c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94">
        <f>AN212-AO212</f>
        <v>59207</v>
      </c>
      <c r="AP213" s="94">
        <f t="shared" ref="AP213:AV213" si="504">AO212-AP212</f>
        <v>48354</v>
      </c>
      <c r="AQ213" s="94">
        <f t="shared" si="504"/>
        <v>75975</v>
      </c>
      <c r="AR213" s="94">
        <f t="shared" si="504"/>
        <v>42881.596457672073</v>
      </c>
      <c r="AS213" s="94">
        <f t="shared" si="504"/>
        <v>58015.934329493786</v>
      </c>
      <c r="AT213" s="94">
        <f t="shared" si="504"/>
        <v>58319.220879645203</v>
      </c>
      <c r="AU213" s="94">
        <f t="shared" si="504"/>
        <v>59343.468466220656</v>
      </c>
      <c r="AV213" s="94">
        <f t="shared" si="504"/>
        <v>69651.855219444958</v>
      </c>
    </row>
    <row r="215" spans="2:48" ht="15" x14ac:dyDescent="0.25">
      <c r="B215" s="22" t="s">
        <v>245</v>
      </c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  <c r="AG215" s="23"/>
      <c r="AH215" s="23"/>
      <c r="AI215" s="23"/>
      <c r="AJ215" s="23"/>
      <c r="AK215" s="23"/>
      <c r="AL215" s="23"/>
      <c r="AN215" s="22"/>
      <c r="AO215" s="22"/>
      <c r="AP215" s="22"/>
      <c r="AQ215" s="22"/>
      <c r="AR215" s="22"/>
      <c r="AS215" s="22"/>
      <c r="AT215" s="22"/>
      <c r="AU215" s="22"/>
      <c r="AV215" s="22"/>
    </row>
    <row r="217" spans="2:48" x14ac:dyDescent="0.2">
      <c r="B217" s="4" t="s">
        <v>243</v>
      </c>
      <c r="AN217" s="46">
        <f>AN168</f>
        <v>-442475</v>
      </c>
      <c r="AO217" s="46">
        <f>AO168</f>
        <v>-479164</v>
      </c>
      <c r="AP217" s="46">
        <f>AP168</f>
        <v>-560731</v>
      </c>
      <c r="AQ217" s="46">
        <f>AQ168</f>
        <v>-593603</v>
      </c>
      <c r="AR217" s="46">
        <f>AR218*AR$189</f>
        <v>-691905.67650717474</v>
      </c>
      <c r="AS217" s="46">
        <f t="shared" ref="AS217" si="505">AS218*AS$189</f>
        <v>-758922.24942884443</v>
      </c>
      <c r="AT217" s="46">
        <f t="shared" ref="AT217" si="506">AT218*AT$189</f>
        <v>-829374.33265485149</v>
      </c>
      <c r="AU217" s="46">
        <f t="shared" ref="AU217" si="507">AU218*AU$189</f>
        <v>-902546.99720596359</v>
      </c>
      <c r="AV217" s="46">
        <f t="shared" ref="AV217" si="508">AV218*AV$189</f>
        <v>-987823.09152049944</v>
      </c>
    </row>
    <row r="218" spans="2:48" x14ac:dyDescent="0.2">
      <c r="B218" s="26" t="s">
        <v>234</v>
      </c>
      <c r="AN218" s="29">
        <f>AN217/AN$189</f>
        <v>-5.8628782780475737E-2</v>
      </c>
      <c r="AO218" s="29">
        <f t="shared" ref="AO218:AQ218" si="509">AO217/AO$189</f>
        <v>-5.549314552572588E-2</v>
      </c>
      <c r="AP218" s="29">
        <f t="shared" si="509"/>
        <v>-5.6802161422068391E-2</v>
      </c>
      <c r="AQ218" s="29">
        <f t="shared" si="509"/>
        <v>-5.246692748561034E-2</v>
      </c>
      <c r="AR218" s="49">
        <f>AVERAGE(AN218:AQ218)</f>
        <v>-5.5847754303470082E-2</v>
      </c>
      <c r="AS218" s="49">
        <f>AR218</f>
        <v>-5.5847754303470082E-2</v>
      </c>
      <c r="AT218" s="49">
        <f t="shared" ref="AT218:AV218" si="510">AS218</f>
        <v>-5.5847754303470082E-2</v>
      </c>
      <c r="AU218" s="49">
        <f t="shared" si="510"/>
        <v>-5.5847754303470082E-2</v>
      </c>
      <c r="AV218" s="49">
        <f t="shared" si="510"/>
        <v>-5.5847754303470082E-2</v>
      </c>
    </row>
    <row r="220" spans="2:48" x14ac:dyDescent="0.2">
      <c r="B220" s="4" t="s">
        <v>244</v>
      </c>
      <c r="AN220" s="46">
        <f>AN147</f>
        <v>254657</v>
      </c>
      <c r="AO220" s="46">
        <f>AO147</f>
        <v>286826</v>
      </c>
      <c r="AP220" s="46">
        <f>AP147</f>
        <v>319394</v>
      </c>
      <c r="AQ220" s="46">
        <f>AQ147</f>
        <v>335030</v>
      </c>
      <c r="AR220" s="46">
        <f>AR221*AR$189</f>
        <v>399325.55314292212</v>
      </c>
      <c r="AS220" s="46">
        <f t="shared" ref="AS220" si="511">AS221*AS$189</f>
        <v>438003.41193255334</v>
      </c>
      <c r="AT220" s="46">
        <f t="shared" ref="AT220" si="512">AT221*AT$189</f>
        <v>478664.03672510729</v>
      </c>
      <c r="AU220" s="46">
        <f t="shared" ref="AU220" si="513">AU221*AU$189</f>
        <v>520894.81432808784</v>
      </c>
      <c r="AV220" s="46">
        <f t="shared" ref="AV220" si="514">AV221*AV$189</f>
        <v>570110.94983361429</v>
      </c>
    </row>
    <row r="221" spans="2:48" x14ac:dyDescent="0.2">
      <c r="B221" s="26" t="s">
        <v>234</v>
      </c>
      <c r="AN221" s="29">
        <f>AN220/AN$189</f>
        <v>3.3742538983055785E-2</v>
      </c>
      <c r="AO221" s="29">
        <f t="shared" ref="AO221" si="515">AO220/AO$189</f>
        <v>3.3218015039864955E-2</v>
      </c>
      <c r="AP221" s="29">
        <f t="shared" ref="AP221" si="516">AP220/AP$189</f>
        <v>3.2354675495451672E-2</v>
      </c>
      <c r="AQ221" s="29">
        <f t="shared" ref="AQ221" si="517">AQ220/AQ$189</f>
        <v>2.961237513203948E-2</v>
      </c>
      <c r="AR221" s="49">
        <f>AVERAGE(AN221:AQ221)</f>
        <v>3.2231901162602973E-2</v>
      </c>
      <c r="AS221" s="49">
        <f>AR221</f>
        <v>3.2231901162602973E-2</v>
      </c>
      <c r="AT221" s="49">
        <f t="shared" ref="AT221:AV221" si="518">AS221</f>
        <v>3.2231901162602973E-2</v>
      </c>
      <c r="AU221" s="49">
        <f t="shared" si="518"/>
        <v>3.2231901162602973E-2</v>
      </c>
      <c r="AV221" s="49">
        <f t="shared" si="518"/>
        <v>3.2231901162602973E-2</v>
      </c>
    </row>
    <row r="222" spans="2:48" x14ac:dyDescent="0.2">
      <c r="B222" s="26"/>
      <c r="AN222" s="73"/>
      <c r="AO222" s="73"/>
      <c r="AP222" s="73"/>
      <c r="AQ222" s="73"/>
      <c r="AR222" s="95"/>
      <c r="AS222" s="95"/>
      <c r="AT222" s="95"/>
      <c r="AU222" s="95"/>
      <c r="AV222" s="95"/>
    </row>
    <row r="223" spans="2:48" x14ac:dyDescent="0.2">
      <c r="B223" s="4" t="s">
        <v>246</v>
      </c>
      <c r="AN223" s="46">
        <f>AN112</f>
        <v>3118294</v>
      </c>
      <c r="AO223" s="46">
        <f>AO112</f>
        <v>3302402</v>
      </c>
      <c r="AP223" s="46">
        <f>AP112</f>
        <v>3578548</v>
      </c>
      <c r="AQ223" s="46">
        <f>AQ112</f>
        <v>4000127</v>
      </c>
      <c r="AR223" s="46">
        <f>AR224*AR$189</f>
        <v>4682187.2610565461</v>
      </c>
      <c r="AS223" s="46">
        <f t="shared" ref="AS223" si="519">AS224*AS$189</f>
        <v>5135694.3714440931</v>
      </c>
      <c r="AT223" s="46">
        <f t="shared" ref="AT223" si="520">AT224*AT$189</f>
        <v>5612449.885665236</v>
      </c>
      <c r="AU223" s="46">
        <f t="shared" ref="AU223" si="521">AU224*AU$189</f>
        <v>6107615.8157213507</v>
      </c>
      <c r="AV223" s="46">
        <f t="shared" ref="AV223" si="522">AV224*AV$189</f>
        <v>6684686.7316412553</v>
      </c>
    </row>
    <row r="224" spans="2:48" x14ac:dyDescent="0.2">
      <c r="B224" s="26" t="s">
        <v>234</v>
      </c>
      <c r="AN224" s="29">
        <f>AN223/AN$189</f>
        <v>0.41317991202138155</v>
      </c>
      <c r="AO224" s="29">
        <f t="shared" ref="AO224" si="523">AO223/AO$189</f>
        <v>0.38245918885902985</v>
      </c>
      <c r="AP224" s="29">
        <f t="shared" ref="AP224" si="524">AP223/AP$189</f>
        <v>0.36250762157366007</v>
      </c>
      <c r="AQ224" s="29">
        <f t="shared" ref="AQ224" si="525">AQ223/AQ$189</f>
        <v>0.35356016267140161</v>
      </c>
      <c r="AR224" s="49">
        <f>AVERAGE(AN224:AQ224)</f>
        <v>0.37792672128136823</v>
      </c>
      <c r="AS224" s="49">
        <f>AR224</f>
        <v>0.37792672128136823</v>
      </c>
      <c r="AT224" s="49">
        <f t="shared" ref="AT224:AV224" si="526">AS224</f>
        <v>0.37792672128136823</v>
      </c>
      <c r="AU224" s="49">
        <f t="shared" si="526"/>
        <v>0.37792672128136823</v>
      </c>
      <c r="AV224" s="49">
        <f t="shared" si="526"/>
        <v>0.37792672128136823</v>
      </c>
    </row>
    <row r="226" spans="2:48" x14ac:dyDescent="0.2">
      <c r="B226" s="4" t="s">
        <v>249</v>
      </c>
      <c r="AN226" s="46">
        <f>AN122</f>
        <v>218713</v>
      </c>
      <c r="AO226" s="46">
        <f>AO122</f>
        <v>236248</v>
      </c>
      <c r="AP226" s="46">
        <f>AP122</f>
        <v>248074</v>
      </c>
      <c r="AQ226" s="46">
        <f>AQ122</f>
        <v>277836</v>
      </c>
      <c r="AR226" s="46">
        <f>AR227*AR$189</f>
        <v>328397.23053927551</v>
      </c>
      <c r="AS226" s="46">
        <f t="shared" ref="AS226" si="527">AS227*AS$189</f>
        <v>360205.11663555552</v>
      </c>
      <c r="AT226" s="46">
        <f t="shared" ref="AT226" si="528">AT227*AT$189</f>
        <v>393643.58925213816</v>
      </c>
      <c r="AU226" s="46">
        <f t="shared" ref="AU226" si="529">AU227*AU$189</f>
        <v>428373.32367355458</v>
      </c>
      <c r="AV226" s="46">
        <f t="shared" ref="AV226" si="530">AV227*AV$189</f>
        <v>468847.67466525256</v>
      </c>
    </row>
    <row r="227" spans="2:48" x14ac:dyDescent="0.2">
      <c r="B227" s="26" t="s">
        <v>234</v>
      </c>
      <c r="AN227" s="29">
        <f>AN226/AN$189</f>
        <v>2.8979890317568653E-2</v>
      </c>
      <c r="AO227" s="29">
        <f t="shared" ref="AO227" si="531">AO226/AO$189</f>
        <v>2.7360454132951739E-2</v>
      </c>
      <c r="AP227" s="29">
        <f t="shared" ref="AP227" si="532">AP226/AP$189</f>
        <v>2.5129945361712112E-2</v>
      </c>
      <c r="AQ227" s="29">
        <f t="shared" ref="AQ227" si="533">AQ226/AQ$189</f>
        <v>2.455715564930102E-2</v>
      </c>
      <c r="AR227" s="49">
        <f>AVERAGE(AN227:AQ227)</f>
        <v>2.6506861365383383E-2</v>
      </c>
      <c r="AS227" s="49">
        <f>AR227</f>
        <v>2.6506861365383383E-2</v>
      </c>
      <c r="AT227" s="49">
        <f t="shared" ref="AT227:AV227" si="534">AS227</f>
        <v>2.6506861365383383E-2</v>
      </c>
      <c r="AU227" s="49">
        <f t="shared" si="534"/>
        <v>2.6506861365383383E-2</v>
      </c>
      <c r="AV227" s="49">
        <f t="shared" si="534"/>
        <v>2.6506861365383383E-2</v>
      </c>
    </row>
    <row r="229" spans="2:48" x14ac:dyDescent="0.2">
      <c r="B229" s="4" t="s">
        <v>248</v>
      </c>
      <c r="AN229" s="46">
        <f>AN125</f>
        <v>3301601</v>
      </c>
      <c r="AO229" s="46">
        <f>AO125</f>
        <v>3495162</v>
      </c>
      <c r="AP229" s="46">
        <f>AP125</f>
        <v>3803551</v>
      </c>
      <c r="AQ229" s="46">
        <f>AQ125</f>
        <v>4262782</v>
      </c>
      <c r="AR229" s="46">
        <f>AR230*AR$189</f>
        <v>4969060.0666009309</v>
      </c>
      <c r="AS229" s="46">
        <f t="shared" ref="AS229" si="535">AS230*AS$189</f>
        <v>5450353.0919546047</v>
      </c>
      <c r="AT229" s="46">
        <f t="shared" ref="AT229" si="536">AT230*AT$189</f>
        <v>5956318.9269719543</v>
      </c>
      <c r="AU229" s="46">
        <f t="shared" ref="AU229" si="537">AU230*AU$189</f>
        <v>6481823.1650976064</v>
      </c>
      <c r="AV229" s="46">
        <f t="shared" ref="AV229" si="538">AV230*AV$189</f>
        <v>7094250.6234661471</v>
      </c>
    </row>
    <row r="230" spans="2:48" x14ac:dyDescent="0.2">
      <c r="B230" s="26" t="s">
        <v>234</v>
      </c>
      <c r="AN230" s="29">
        <f>AN229/AN$189</f>
        <v>0.43746843970122939</v>
      </c>
      <c r="AO230" s="29">
        <f t="shared" ref="AO230" si="539">AO229/AO$189</f>
        <v>0.40478319218886877</v>
      </c>
      <c r="AP230" s="29">
        <f t="shared" ref="AP230" si="540">AP229/AP$189</f>
        <v>0.38530047006330959</v>
      </c>
      <c r="AQ230" s="29">
        <f t="shared" ref="AQ230" si="541">AQ229/AQ$189</f>
        <v>0.37677551171568374</v>
      </c>
      <c r="AR230" s="49">
        <f>AVERAGE(AN230:AQ230)</f>
        <v>0.40108190341727284</v>
      </c>
      <c r="AS230" s="49">
        <f>AR230</f>
        <v>0.40108190341727284</v>
      </c>
      <c r="AT230" s="49">
        <f t="shared" ref="AT230:AV230" si="542">AS230</f>
        <v>0.40108190341727284</v>
      </c>
      <c r="AU230" s="49">
        <f t="shared" si="542"/>
        <v>0.40108190341727284</v>
      </c>
      <c r="AV230" s="49">
        <f t="shared" si="542"/>
        <v>0.40108190341727284</v>
      </c>
    </row>
    <row r="231" spans="2:48" x14ac:dyDescent="0.2">
      <c r="B231" s="26"/>
      <c r="AN231" s="73"/>
      <c r="AO231" s="73"/>
      <c r="AP231" s="73"/>
      <c r="AQ231" s="73"/>
      <c r="AR231" s="95"/>
      <c r="AS231" s="95"/>
      <c r="AT231" s="95"/>
      <c r="AU231" s="95"/>
      <c r="AV231" s="95"/>
    </row>
    <row r="232" spans="2:48" x14ac:dyDescent="0.2">
      <c r="B232" s="4" t="s">
        <v>81</v>
      </c>
      <c r="AN232" s="46">
        <f>AN169</f>
        <v>-429350</v>
      </c>
      <c r="AO232" s="46">
        <f>AO169</f>
        <v>-614416</v>
      </c>
      <c r="AP232" s="46">
        <f>AP169</f>
        <v>-1115131</v>
      </c>
      <c r="AQ232" s="46">
        <f>AQ169</f>
        <v>-986673</v>
      </c>
      <c r="AR232" s="46">
        <f>AR233*AR$189</f>
        <v>-1016587.8044500549</v>
      </c>
      <c r="AS232" s="46">
        <f t="shared" ref="AS232" si="543">AS233*AS$189</f>
        <v>-1115052.4262061981</v>
      </c>
      <c r="AT232" s="46">
        <f t="shared" ref="AT232" si="544">AT233*AT$189</f>
        <v>-1218564.6982361216</v>
      </c>
      <c r="AU232" s="46">
        <f t="shared" ref="AU232" si="545">AU233*AU$189</f>
        <v>-1326074.2055685187</v>
      </c>
      <c r="AV232" s="46">
        <f t="shared" ref="AV232" si="546">AV233*AV$189</f>
        <v>-1451366.7713542411</v>
      </c>
    </row>
    <row r="233" spans="2:48" x14ac:dyDescent="0.2">
      <c r="B233" s="26" t="s">
        <v>234</v>
      </c>
      <c r="AN233" s="29">
        <f>AN232/AN$189</f>
        <v>-5.6889695207180652E-2</v>
      </c>
      <c r="AO233" s="29">
        <f t="shared" ref="AO233" si="547">AO232/AO$189</f>
        <v>-7.1157007833089272E-2</v>
      </c>
      <c r="AP233" s="29">
        <f t="shared" ref="AP233" si="548">AP232/AP$189</f>
        <v>-0.11296299128949985</v>
      </c>
      <c r="AQ233" s="29">
        <f t="shared" ref="AQ233" si="549">AQ232/AQ$189</f>
        <v>-8.7209297700667973E-2</v>
      </c>
      <c r="AR233" s="49">
        <f>AVERAGE(AN233:AQ233)</f>
        <v>-8.2054748007609438E-2</v>
      </c>
      <c r="AS233" s="49">
        <f>AR233</f>
        <v>-8.2054748007609438E-2</v>
      </c>
      <c r="AT233" s="49">
        <f t="shared" ref="AT233:AV236" si="550">AS233</f>
        <v>-8.2054748007609438E-2</v>
      </c>
      <c r="AU233" s="49">
        <f t="shared" si="550"/>
        <v>-8.2054748007609438E-2</v>
      </c>
      <c r="AV233" s="49">
        <f t="shared" si="550"/>
        <v>-8.2054748007609438E-2</v>
      </c>
    </row>
    <row r="235" spans="2:48" x14ac:dyDescent="0.2">
      <c r="B235" s="4" t="s">
        <v>247</v>
      </c>
      <c r="AN235" s="46">
        <f>AN170</f>
        <v>345748</v>
      </c>
      <c r="AO235" s="46">
        <f>AO170</f>
        <v>263548</v>
      </c>
      <c r="AP235" s="46">
        <f>AP170</f>
        <v>729853</v>
      </c>
      <c r="AQ235" s="46">
        <f>AQ170</f>
        <v>722637</v>
      </c>
      <c r="AR235" s="46">
        <f>AR236*-AR232</f>
        <v>666149.78487251466</v>
      </c>
      <c r="AS235" s="46">
        <f t="shared" ref="AS235:AV235" si="551">AS236*-AS232</f>
        <v>730671.69465077703</v>
      </c>
      <c r="AT235" s="46">
        <f t="shared" si="551"/>
        <v>798501.22933784849</v>
      </c>
      <c r="AU235" s="46">
        <f t="shared" si="551"/>
        <v>868950.07287868694</v>
      </c>
      <c r="AV235" s="46">
        <f t="shared" si="551"/>
        <v>951051.80120842601</v>
      </c>
    </row>
    <row r="236" spans="2:48" x14ac:dyDescent="0.2">
      <c r="B236" s="26" t="s">
        <v>250</v>
      </c>
      <c r="AN236" s="29">
        <f>AN235/-AN232</f>
        <v>0.80528240363339931</v>
      </c>
      <c r="AO236" s="29">
        <f t="shared" ref="AO236:AQ236" si="552">AO235/-AO232</f>
        <v>0.42894065258717223</v>
      </c>
      <c r="AP236" s="29">
        <f t="shared" si="552"/>
        <v>0.65449978522702712</v>
      </c>
      <c r="AQ236" s="29">
        <f t="shared" si="552"/>
        <v>0.73239766366364545</v>
      </c>
      <c r="AR236" s="49">
        <f>AVERAGE(AN236:AQ236)</f>
        <v>0.65528012627781107</v>
      </c>
      <c r="AS236" s="49">
        <f>AR236</f>
        <v>0.65528012627781107</v>
      </c>
      <c r="AT236" s="49">
        <f t="shared" si="550"/>
        <v>0.65528012627781107</v>
      </c>
      <c r="AU236" s="49">
        <f t="shared" si="550"/>
        <v>0.65528012627781107</v>
      </c>
      <c r="AV236" s="49">
        <f t="shared" si="550"/>
        <v>0.65528012627781107</v>
      </c>
    </row>
    <row r="238" spans="2:48" x14ac:dyDescent="0.2">
      <c r="B238" s="4" t="s">
        <v>251</v>
      </c>
      <c r="AN238" s="46">
        <f>AN151</f>
        <v>176392</v>
      </c>
      <c r="AO238" s="46">
        <f>AO151</f>
        <v>98030</v>
      </c>
      <c r="AP238" s="46">
        <f>AP151</f>
        <v>124016</v>
      </c>
      <c r="AQ238" s="46">
        <f>AQ151</f>
        <v>131730</v>
      </c>
      <c r="AR238" s="46">
        <f>AR239*AR$189</f>
        <v>182527.55010972795</v>
      </c>
      <c r="AS238" s="46">
        <f t="shared" ref="AS238" si="553">AS239*AS$189</f>
        <v>200206.79641088974</v>
      </c>
      <c r="AT238" s="46">
        <f t="shared" ref="AT238" si="554">AT239*AT$189</f>
        <v>218792.34439524187</v>
      </c>
      <c r="AU238" s="46">
        <f t="shared" ref="AU238" si="555">AU239*AU$189</f>
        <v>238095.59287115885</v>
      </c>
      <c r="AV238" s="46">
        <f t="shared" ref="AV238" si="556">AV239*AV$189</f>
        <v>260591.77566985125</v>
      </c>
    </row>
    <row r="239" spans="2:48" x14ac:dyDescent="0.2">
      <c r="AN239" s="29">
        <f>AN238/AN$189</f>
        <v>2.3372276969803211E-2</v>
      </c>
      <c r="AO239" s="29">
        <f t="shared" ref="AO239" si="557">AO238/AO$189</f>
        <v>1.1353092168624747E-2</v>
      </c>
      <c r="AP239" s="29">
        <f t="shared" ref="AP239" si="558">AP238/AP$189</f>
        <v>1.256284537669441E-2</v>
      </c>
      <c r="AQ239" s="29">
        <f t="shared" ref="AQ239" si="559">AQ238/AQ$189</f>
        <v>1.1643250383976242E-2</v>
      </c>
      <c r="AR239" s="49">
        <f>AVERAGE(AN239:AQ239)</f>
        <v>1.4732866224774651E-2</v>
      </c>
      <c r="AS239" s="49">
        <f>AR239</f>
        <v>1.4732866224774651E-2</v>
      </c>
      <c r="AT239" s="49">
        <f t="shared" ref="AT239:AV239" si="560">AS239</f>
        <v>1.4732866224774651E-2</v>
      </c>
      <c r="AU239" s="49">
        <f t="shared" si="560"/>
        <v>1.4732866224774651E-2</v>
      </c>
      <c r="AV239" s="49">
        <f t="shared" si="560"/>
        <v>1.4732866224774651E-2</v>
      </c>
    </row>
    <row r="241" spans="2:48" ht="15" x14ac:dyDescent="0.25">
      <c r="B241" s="22" t="s">
        <v>156</v>
      </c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  <c r="AD241" s="23"/>
      <c r="AE241" s="23"/>
      <c r="AF241" s="23"/>
      <c r="AG241" s="23"/>
      <c r="AH241" s="23"/>
      <c r="AI241" s="23"/>
      <c r="AJ241" s="23"/>
      <c r="AK241" s="23"/>
      <c r="AL241" s="23"/>
      <c r="AN241" s="22"/>
      <c r="AO241" s="22"/>
      <c r="AP241" s="22"/>
      <c r="AQ241" s="22"/>
      <c r="AR241" s="22"/>
      <c r="AS241" s="22"/>
      <c r="AT241" s="22"/>
      <c r="AU241" s="22"/>
      <c r="AV241" s="22"/>
    </row>
    <row r="243" spans="2:48" x14ac:dyDescent="0.2">
      <c r="B243" s="4" t="s">
        <v>161</v>
      </c>
      <c r="C243" s="46">
        <f t="shared" ref="C243:V243" si="561">C38</f>
        <v>1741575</v>
      </c>
      <c r="D243" s="46">
        <f t="shared" si="561"/>
        <v>1892538</v>
      </c>
      <c r="E243" s="46">
        <f t="shared" si="561"/>
        <v>1952315</v>
      </c>
      <c r="F243" s="46">
        <f t="shared" si="561"/>
        <v>1960633</v>
      </c>
      <c r="G243" s="46">
        <f t="shared" si="561"/>
        <v>2020539</v>
      </c>
      <c r="H243" s="46">
        <f t="shared" si="561"/>
        <v>2213339</v>
      </c>
      <c r="I243" s="46">
        <f t="shared" si="561"/>
        <v>2220175</v>
      </c>
      <c r="J243" s="46">
        <f t="shared" si="561"/>
        <v>2180599</v>
      </c>
      <c r="K243" s="46">
        <f t="shared" si="561"/>
        <v>2368580</v>
      </c>
      <c r="L243" s="46">
        <f t="shared" si="561"/>
        <v>2514801</v>
      </c>
      <c r="M243" s="46">
        <f t="shared" si="561"/>
        <v>2471948</v>
      </c>
      <c r="N243" s="46">
        <f t="shared" si="561"/>
        <v>2516320</v>
      </c>
      <c r="O243" s="46">
        <f t="shared" si="561"/>
        <v>2701848</v>
      </c>
      <c r="P243" s="46">
        <f t="shared" si="561"/>
        <v>2973117</v>
      </c>
      <c r="Q243" s="46">
        <f t="shared" si="561"/>
        <v>2793576</v>
      </c>
      <c r="R243" s="46">
        <f t="shared" si="561"/>
        <v>2845310</v>
      </c>
      <c r="S243" s="46" t="e">
        <f t="shared" si="561"/>
        <v>#REF!</v>
      </c>
      <c r="T243" s="46" t="e">
        <f t="shared" si="561"/>
        <v>#REF!</v>
      </c>
      <c r="U243" s="46" t="e">
        <f t="shared" si="561"/>
        <v>#REF!</v>
      </c>
      <c r="V243" s="46" t="e">
        <f t="shared" si="561"/>
        <v>#REF!</v>
      </c>
      <c r="W243" s="46"/>
      <c r="X243" s="46"/>
      <c r="Y243" s="46"/>
      <c r="Z243" s="46"/>
      <c r="AA243" s="46"/>
      <c r="AB243" s="46"/>
      <c r="AC243" s="46"/>
      <c r="AD243" s="46"/>
      <c r="AE243" s="46"/>
      <c r="AF243" s="46"/>
      <c r="AG243" s="46"/>
      <c r="AH243" s="46"/>
      <c r="AI243" s="46"/>
      <c r="AJ243" s="46"/>
      <c r="AK243" s="46"/>
      <c r="AL243" s="46"/>
    </row>
    <row r="246" spans="2:48" x14ac:dyDescent="0.2">
      <c r="B246" s="4" t="s">
        <v>29</v>
      </c>
      <c r="C246" s="46">
        <f t="shared" ref="C246:R246" si="562">C41</f>
        <v>522671</v>
      </c>
      <c r="D246" s="46">
        <f t="shared" si="562"/>
        <v>574478</v>
      </c>
      <c r="E246" s="46">
        <f t="shared" si="562"/>
        <v>591332</v>
      </c>
      <c r="F246" s="46">
        <f t="shared" si="562"/>
        <v>620150</v>
      </c>
      <c r="G246" s="46">
        <f t="shared" si="562"/>
        <v>626926</v>
      </c>
      <c r="H246" s="46">
        <f t="shared" si="562"/>
        <v>673928</v>
      </c>
      <c r="I246" s="46">
        <f t="shared" si="562"/>
        <v>662540</v>
      </c>
      <c r="J246" s="46">
        <f t="shared" si="562"/>
        <v>638851</v>
      </c>
      <c r="K246" s="46">
        <f t="shared" si="562"/>
        <v>692559</v>
      </c>
      <c r="L246" s="46">
        <f t="shared" si="562"/>
        <v>738664</v>
      </c>
      <c r="M246" s="46">
        <f t="shared" si="562"/>
        <v>734186</v>
      </c>
      <c r="N246" s="46">
        <f t="shared" si="562"/>
        <v>747155</v>
      </c>
      <c r="O246" s="46">
        <f t="shared" si="562"/>
        <v>779076</v>
      </c>
      <c r="P246" s="46">
        <f t="shared" si="562"/>
        <v>873673</v>
      </c>
      <c r="Q246" s="46">
        <f t="shared" si="562"/>
        <v>855515</v>
      </c>
      <c r="R246" s="46">
        <f t="shared" si="562"/>
        <v>866252</v>
      </c>
    </row>
    <row r="247" spans="2:48" x14ac:dyDescent="0.2">
      <c r="B247" s="26" t="s">
        <v>157</v>
      </c>
      <c r="C247" s="30">
        <f>C246/C$243</f>
        <v>0.3001139772906708</v>
      </c>
      <c r="D247" s="30">
        <f t="shared" ref="D247:R247" si="563">D246/D$243</f>
        <v>0.30354899082607589</v>
      </c>
      <c r="E247" s="30">
        <f t="shared" si="563"/>
        <v>0.30288759754445366</v>
      </c>
      <c r="F247" s="30">
        <f t="shared" si="563"/>
        <v>0.31630090894114299</v>
      </c>
      <c r="G247" s="30">
        <f t="shared" si="563"/>
        <v>0.31027661430935011</v>
      </c>
      <c r="H247" s="30">
        <f t="shared" si="563"/>
        <v>0.30448476261431257</v>
      </c>
      <c r="I247" s="30">
        <f t="shared" si="563"/>
        <v>0.29841791750650287</v>
      </c>
      <c r="J247" s="30">
        <f t="shared" si="563"/>
        <v>0.29297041776135824</v>
      </c>
      <c r="K247" s="30">
        <f t="shared" si="563"/>
        <v>0.29239417710189225</v>
      </c>
      <c r="L247" s="30">
        <f t="shared" si="563"/>
        <v>0.29372662091354346</v>
      </c>
      <c r="M247" s="30">
        <f t="shared" si="563"/>
        <v>0.29700705678274786</v>
      </c>
      <c r="N247" s="30">
        <f t="shared" si="563"/>
        <v>0.29692368220258153</v>
      </c>
      <c r="O247" s="30">
        <f t="shared" si="563"/>
        <v>0.28834930758503069</v>
      </c>
      <c r="P247" s="30">
        <f t="shared" si="563"/>
        <v>0.29385759120814958</v>
      </c>
      <c r="Q247" s="30">
        <f t="shared" si="563"/>
        <v>0.30624368193312085</v>
      </c>
      <c r="R247" s="30">
        <f t="shared" si="563"/>
        <v>0.30444907584762293</v>
      </c>
    </row>
    <row r="248" spans="2:48" x14ac:dyDescent="0.2">
      <c r="B248" s="26" t="s">
        <v>159</v>
      </c>
      <c r="C248" s="32"/>
      <c r="D248" s="32"/>
      <c r="E248" s="32"/>
      <c r="F248" s="32">
        <f t="shared" ref="F248:R248" si="564">(F41-C41)/(F243-C243)</f>
        <v>0.4449917373480996</v>
      </c>
      <c r="G248" s="32">
        <f t="shared" si="564"/>
        <v>0.40974679885313398</v>
      </c>
      <c r="H248" s="32">
        <f t="shared" si="564"/>
        <v>0.31643067304155942</v>
      </c>
      <c r="I248" s="32">
        <f t="shared" si="564"/>
        <v>0.16332616686316664</v>
      </c>
      <c r="J248" s="32">
        <f t="shared" si="564"/>
        <v>7.4503311258278151E-2</v>
      </c>
      <c r="K248" s="32">
        <f t="shared" si="564"/>
        <v>0.12001339852229759</v>
      </c>
      <c r="L248" s="32">
        <f t="shared" si="564"/>
        <v>0.25837502460746847</v>
      </c>
      <c r="M248" s="32">
        <f t="shared" si="564"/>
        <v>0.32721924564697324</v>
      </c>
      <c r="N248" s="32">
        <f t="shared" si="564"/>
        <v>0.36954108569107891</v>
      </c>
      <c r="O248" s="32">
        <f t="shared" si="564"/>
        <v>0.21605264986874956</v>
      </c>
      <c r="P248" s="32">
        <f t="shared" si="564"/>
        <v>0.27832328017096031</v>
      </c>
      <c r="Q248" s="32">
        <f t="shared" si="564"/>
        <v>0.3908301353261967</v>
      </c>
      <c r="R248" s="32">
        <f t="shared" si="564"/>
        <v>0.60765917106969092</v>
      </c>
    </row>
    <row r="249" spans="2:48" x14ac:dyDescent="0.2">
      <c r="B249" s="4" t="s">
        <v>30</v>
      </c>
      <c r="C249" s="46">
        <f t="shared" ref="C249:R249" si="565">C43</f>
        <v>433669</v>
      </c>
      <c r="D249" s="46">
        <f t="shared" si="565"/>
        <v>464506</v>
      </c>
      <c r="E249" s="46">
        <f t="shared" si="565"/>
        <v>502757</v>
      </c>
      <c r="F249" s="46">
        <f t="shared" si="565"/>
        <v>516829</v>
      </c>
      <c r="G249" s="46">
        <f t="shared" si="565"/>
        <v>531940</v>
      </c>
      <c r="H249" s="46">
        <f t="shared" si="565"/>
        <v>549926</v>
      </c>
      <c r="I249" s="46">
        <f t="shared" si="565"/>
        <v>557178</v>
      </c>
      <c r="J249" s="46">
        <f t="shared" si="565"/>
        <v>558914</v>
      </c>
      <c r="K249" s="46">
        <f t="shared" si="565"/>
        <v>583794</v>
      </c>
      <c r="L249" s="46">
        <f t="shared" si="565"/>
        <v>611678</v>
      </c>
      <c r="M249" s="46">
        <f t="shared" si="565"/>
        <v>616282</v>
      </c>
      <c r="N249" s="46">
        <f t="shared" si="565"/>
        <v>629228</v>
      </c>
      <c r="O249" s="46">
        <f t="shared" si="565"/>
        <v>659450</v>
      </c>
      <c r="P249" s="46">
        <f t="shared" si="565"/>
        <v>716627</v>
      </c>
      <c r="Q249" s="46">
        <f t="shared" si="565"/>
        <v>696847</v>
      </c>
      <c r="R249" s="46">
        <f t="shared" si="565"/>
        <v>716865</v>
      </c>
    </row>
    <row r="250" spans="2:48" x14ac:dyDescent="0.2">
      <c r="B250" s="26" t="s">
        <v>157</v>
      </c>
      <c r="C250" s="30">
        <f t="shared" ref="C250:R250" si="566">C43/C$38</f>
        <v>0.24900966079554426</v>
      </c>
      <c r="D250" s="30">
        <f t="shared" si="566"/>
        <v>0.24544077846785639</v>
      </c>
      <c r="E250" s="30">
        <f t="shared" si="566"/>
        <v>0.25751838202339272</v>
      </c>
      <c r="F250" s="30">
        <f t="shared" si="566"/>
        <v>0.26360313225371601</v>
      </c>
      <c r="G250" s="30">
        <f t="shared" si="566"/>
        <v>0.26326638585050821</v>
      </c>
      <c r="H250" s="30">
        <f t="shared" si="566"/>
        <v>0.24845990605144536</v>
      </c>
      <c r="I250" s="30">
        <f t="shared" si="566"/>
        <v>0.25096129809587081</v>
      </c>
      <c r="J250" s="30">
        <f t="shared" si="566"/>
        <v>0.25631214175554518</v>
      </c>
      <c r="K250" s="30">
        <f t="shared" si="566"/>
        <v>0.24647425883862906</v>
      </c>
      <c r="L250" s="30">
        <f t="shared" si="566"/>
        <v>0.24323117415652371</v>
      </c>
      <c r="M250" s="30">
        <f t="shared" si="566"/>
        <v>0.24931026057182432</v>
      </c>
      <c r="N250" s="30">
        <f t="shared" si="566"/>
        <v>0.25005881604883323</v>
      </c>
      <c r="O250" s="30">
        <f t="shared" si="566"/>
        <v>0.24407368586241712</v>
      </c>
      <c r="P250" s="30">
        <f t="shared" si="566"/>
        <v>0.24103558655781121</v>
      </c>
      <c r="Q250" s="30">
        <f t="shared" si="566"/>
        <v>0.24944622949223505</v>
      </c>
      <c r="R250" s="30">
        <f t="shared" si="566"/>
        <v>0.25194618512569805</v>
      </c>
    </row>
    <row r="251" spans="2:48" x14ac:dyDescent="0.2">
      <c r="B251" s="26" t="s">
        <v>159</v>
      </c>
      <c r="C251" s="32"/>
      <c r="D251" s="32"/>
      <c r="E251" s="32"/>
      <c r="F251" s="32">
        <f t="shared" ref="F251:R251" si="567">(F43-C43)/(F38-C38)</f>
        <v>0.37962548731386209</v>
      </c>
      <c r="G251" s="32">
        <f t="shared" si="567"/>
        <v>0.52682400918742822</v>
      </c>
      <c r="H251" s="32">
        <f t="shared" si="567"/>
        <v>0.1807075211474807</v>
      </c>
      <c r="I251" s="32">
        <f t="shared" si="567"/>
        <v>0.15546231438456976</v>
      </c>
      <c r="J251" s="32">
        <f t="shared" si="567"/>
        <v>0.16852430338623017</v>
      </c>
      <c r="K251" s="32">
        <f t="shared" si="567"/>
        <v>0.2181640159493948</v>
      </c>
      <c r="L251" s="32">
        <f t="shared" si="567"/>
        <v>0.18498028008390299</v>
      </c>
      <c r="M251" s="32">
        <f t="shared" si="567"/>
        <v>0.1969047431087802</v>
      </c>
      <c r="N251" s="32">
        <f t="shared" si="567"/>
        <v>0.3075267361581156</v>
      </c>
      <c r="O251" s="32">
        <f t="shared" si="567"/>
        <v>0.25540104893422511</v>
      </c>
      <c r="P251" s="32">
        <f t="shared" si="567"/>
        <v>0.20022188124165702</v>
      </c>
      <c r="Q251" s="32">
        <f t="shared" si="567"/>
        <v>0.24388651643246675</v>
      </c>
      <c r="R251" s="32">
        <f t="shared" si="567"/>
        <v>0.40021050870613822</v>
      </c>
    </row>
    <row r="252" spans="2:48" x14ac:dyDescent="0.2">
      <c r="B252" s="4" t="s">
        <v>31</v>
      </c>
      <c r="C252" s="46">
        <f t="shared" ref="C252:R252" si="568">C45</f>
        <v>101769</v>
      </c>
      <c r="D252" s="46">
        <f t="shared" si="568"/>
        <v>103430</v>
      </c>
      <c r="E252" s="46">
        <f t="shared" si="568"/>
        <v>104223</v>
      </c>
      <c r="F252" s="46">
        <f t="shared" si="568"/>
        <v>107184</v>
      </c>
      <c r="G252" s="46">
        <f t="shared" si="568"/>
        <v>112032</v>
      </c>
      <c r="H252" s="46">
        <f t="shared" si="568"/>
        <v>113919</v>
      </c>
      <c r="I252" s="46">
        <f t="shared" si="568"/>
        <v>115826</v>
      </c>
      <c r="J252" s="46">
        <f t="shared" si="568"/>
        <v>118648</v>
      </c>
      <c r="K252" s="46">
        <f t="shared" si="568"/>
        <v>121931</v>
      </c>
      <c r="L252" s="46">
        <f t="shared" si="568"/>
        <v>123897</v>
      </c>
      <c r="M252" s="46">
        <f t="shared" si="568"/>
        <v>126269</v>
      </c>
      <c r="N252" s="46">
        <f t="shared" si="568"/>
        <v>131167</v>
      </c>
      <c r="O252" s="46">
        <f t="shared" si="568"/>
        <v>135699</v>
      </c>
      <c r="P252" s="46">
        <f t="shared" si="568"/>
        <v>138663</v>
      </c>
      <c r="Q252" s="46">
        <f t="shared" si="568"/>
        <v>142570</v>
      </c>
      <c r="R252" s="46">
        <f t="shared" si="568"/>
        <v>146442</v>
      </c>
    </row>
    <row r="253" spans="2:48" x14ac:dyDescent="0.2">
      <c r="B253" s="26" t="s">
        <v>157</v>
      </c>
      <c r="C253" s="30">
        <f t="shared" ref="C253:R253" si="569">C45/C$38</f>
        <v>5.8435037250764398E-2</v>
      </c>
      <c r="D253" s="30">
        <f t="shared" si="569"/>
        <v>5.4651478596466754E-2</v>
      </c>
      <c r="E253" s="30">
        <f t="shared" si="569"/>
        <v>5.3384315543342137E-2</v>
      </c>
      <c r="F253" s="30">
        <f t="shared" si="569"/>
        <v>5.4668058734092508E-2</v>
      </c>
      <c r="G253" s="30">
        <f t="shared" si="569"/>
        <v>5.5446591231349658E-2</v>
      </c>
      <c r="H253" s="30">
        <f t="shared" si="569"/>
        <v>5.1469295937043531E-2</v>
      </c>
      <c r="I253" s="30">
        <f t="shared" si="569"/>
        <v>5.2169761392683006E-2</v>
      </c>
      <c r="J253" s="30">
        <f t="shared" si="569"/>
        <v>5.4410737600081444E-2</v>
      </c>
      <c r="K253" s="30">
        <f t="shared" si="569"/>
        <v>5.1478522996901095E-2</v>
      </c>
      <c r="L253" s="30">
        <f t="shared" si="569"/>
        <v>4.9267118948974495E-2</v>
      </c>
      <c r="M253" s="30">
        <f t="shared" si="569"/>
        <v>5.1080767071151979E-2</v>
      </c>
      <c r="N253" s="30">
        <f t="shared" si="569"/>
        <v>5.2126518089909077E-2</v>
      </c>
      <c r="O253" s="30">
        <f t="shared" si="569"/>
        <v>5.0224512999991117E-2</v>
      </c>
      <c r="P253" s="30">
        <f t="shared" si="569"/>
        <v>4.6638931464856578E-2</v>
      </c>
      <c r="Q253" s="30">
        <f t="shared" si="569"/>
        <v>5.1034945890142243E-2</v>
      </c>
      <c r="R253" s="30">
        <f t="shared" si="569"/>
        <v>5.146785411782899E-2</v>
      </c>
    </row>
    <row r="254" spans="2:48" x14ac:dyDescent="0.2">
      <c r="B254" s="26" t="s">
        <v>159</v>
      </c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  <c r="R254" s="32"/>
    </row>
    <row r="255" spans="2:48" x14ac:dyDescent="0.2">
      <c r="B255" s="4" t="s">
        <v>32</v>
      </c>
      <c r="C255" s="46">
        <f t="shared" ref="C255:R255" si="570">C47</f>
        <v>294710</v>
      </c>
      <c r="D255" s="46">
        <f t="shared" si="570"/>
        <v>287242</v>
      </c>
      <c r="E255" s="46">
        <f t="shared" si="570"/>
        <v>294650</v>
      </c>
      <c r="F255" s="46">
        <f t="shared" si="570"/>
        <v>320452</v>
      </c>
      <c r="G255" s="46">
        <f t="shared" si="570"/>
        <v>330695</v>
      </c>
      <c r="H255" s="46">
        <f t="shared" si="570"/>
        <v>317481</v>
      </c>
      <c r="I255" s="46">
        <f t="shared" si="570"/>
        <v>322085</v>
      </c>
      <c r="J255" s="46">
        <f t="shared" si="570"/>
        <v>341644</v>
      </c>
      <c r="K255" s="46">
        <f t="shared" si="570"/>
        <v>363206</v>
      </c>
      <c r="L255" s="46">
        <f t="shared" si="570"/>
        <v>349707</v>
      </c>
      <c r="M255" s="46">
        <f t="shared" si="570"/>
        <v>345368</v>
      </c>
      <c r="N255" s="46">
        <f t="shared" si="570"/>
        <v>370466</v>
      </c>
      <c r="O255" s="46">
        <f t="shared" si="570"/>
        <v>385773</v>
      </c>
      <c r="P255" s="46">
        <f t="shared" si="570"/>
        <v>384754</v>
      </c>
      <c r="Q255" s="46">
        <f t="shared" si="570"/>
        <v>386463</v>
      </c>
      <c r="R255" s="46">
        <f t="shared" si="570"/>
        <v>411490</v>
      </c>
    </row>
    <row r="256" spans="2:48" x14ac:dyDescent="0.2">
      <c r="B256" s="26" t="s">
        <v>157</v>
      </c>
      <c r="C256" s="30">
        <f t="shared" ref="C256:R256" si="571">C47/C$38</f>
        <v>0.16922038958988272</v>
      </c>
      <c r="D256" s="30">
        <f t="shared" si="571"/>
        <v>0.15177608058596445</v>
      </c>
      <c r="E256" s="30">
        <f t="shared" si="571"/>
        <v>0.15092339094869425</v>
      </c>
      <c r="F256" s="30">
        <f t="shared" si="571"/>
        <v>0.1634431329065664</v>
      </c>
      <c r="G256" s="30">
        <f t="shared" si="571"/>
        <v>0.16366672457200776</v>
      </c>
      <c r="H256" s="30">
        <f t="shared" si="571"/>
        <v>0.14343984360281006</v>
      </c>
      <c r="I256" s="30">
        <f t="shared" si="571"/>
        <v>0.14507189748555857</v>
      </c>
      <c r="J256" s="30">
        <f t="shared" si="571"/>
        <v>0.15667438167219191</v>
      </c>
      <c r="K256" s="30">
        <f t="shared" si="571"/>
        <v>0.15334335340161614</v>
      </c>
      <c r="L256" s="30">
        <f t="shared" si="571"/>
        <v>0.13905951206477171</v>
      </c>
      <c r="M256" s="30">
        <f t="shared" si="571"/>
        <v>0.13971491309687745</v>
      </c>
      <c r="N256" s="30">
        <f t="shared" si="571"/>
        <v>0.14722531315571946</v>
      </c>
      <c r="O256" s="30">
        <f t="shared" si="571"/>
        <v>0.14278116311502351</v>
      </c>
      <c r="P256" s="30">
        <f t="shared" si="571"/>
        <v>0.12941098517145475</v>
      </c>
      <c r="Q256" s="30">
        <f t="shared" si="571"/>
        <v>0.13833989123617901</v>
      </c>
      <c r="R256" s="30">
        <f t="shared" si="571"/>
        <v>0.14462044557535031</v>
      </c>
    </row>
    <row r="257" spans="2:18" x14ac:dyDescent="0.2">
      <c r="B257" s="26" t="s">
        <v>159</v>
      </c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</row>
    <row r="258" spans="2:18" x14ac:dyDescent="0.2">
      <c r="B258" s="4" t="s">
        <v>33</v>
      </c>
      <c r="C258" s="46">
        <f t="shared" ref="C258:R258" si="572">C49</f>
        <v>155103</v>
      </c>
      <c r="D258" s="46">
        <f t="shared" si="572"/>
        <v>146044</v>
      </c>
      <c r="E258" s="46">
        <f t="shared" si="572"/>
        <v>145930</v>
      </c>
      <c r="F258" s="46">
        <f t="shared" si="572"/>
        <v>159777</v>
      </c>
      <c r="G258" s="46">
        <f t="shared" si="572"/>
        <v>147402</v>
      </c>
      <c r="H258" s="46">
        <f t="shared" si="572"/>
        <v>140820</v>
      </c>
      <c r="I258" s="46">
        <f t="shared" si="572"/>
        <v>140896</v>
      </c>
      <c r="J258" s="46">
        <f t="shared" si="572"/>
        <v>135073</v>
      </c>
      <c r="K258" s="46">
        <f t="shared" si="572"/>
        <v>148340</v>
      </c>
      <c r="L258" s="46">
        <f t="shared" si="572"/>
        <v>156496</v>
      </c>
      <c r="M258" s="46">
        <f t="shared" si="572"/>
        <v>159501</v>
      </c>
      <c r="N258" s="46">
        <f t="shared" si="572"/>
        <v>169247</v>
      </c>
      <c r="O258" s="46">
        <f t="shared" si="572"/>
        <v>204625</v>
      </c>
      <c r="P258" s="46">
        <f t="shared" si="572"/>
        <v>175028</v>
      </c>
      <c r="Q258" s="46">
        <f t="shared" si="572"/>
        <v>126614</v>
      </c>
      <c r="R258" s="46">
        <f t="shared" si="572"/>
        <v>191216</v>
      </c>
    </row>
    <row r="259" spans="2:18" x14ac:dyDescent="0.2">
      <c r="B259" s="26" t="s">
        <v>157</v>
      </c>
      <c r="C259" s="30">
        <f t="shared" ref="C259:R259" si="573">C49/C$38</f>
        <v>8.9059041384953269E-2</v>
      </c>
      <c r="D259" s="30">
        <f t="shared" si="573"/>
        <v>7.7168331626630476E-2</v>
      </c>
      <c r="E259" s="30">
        <f t="shared" si="573"/>
        <v>7.4747159141839298E-2</v>
      </c>
      <c r="F259" s="30">
        <f t="shared" si="573"/>
        <v>8.1492558780761115E-2</v>
      </c>
      <c r="G259" s="30">
        <f t="shared" si="573"/>
        <v>7.2951821271452819E-2</v>
      </c>
      <c r="H259" s="30">
        <f t="shared" si="573"/>
        <v>6.3623331084845108E-2</v>
      </c>
      <c r="I259" s="30">
        <f t="shared" si="573"/>
        <v>6.3461664058013442E-2</v>
      </c>
      <c r="J259" s="30">
        <f t="shared" si="573"/>
        <v>6.1943071605554255E-2</v>
      </c>
      <c r="K259" s="30">
        <f t="shared" si="573"/>
        <v>6.2628241393577588E-2</v>
      </c>
      <c r="L259" s="30">
        <f t="shared" si="573"/>
        <v>6.2229973663920128E-2</v>
      </c>
      <c r="M259" s="30">
        <f t="shared" si="573"/>
        <v>6.4524415562139656E-2</v>
      </c>
      <c r="N259" s="30">
        <f t="shared" si="573"/>
        <v>6.7259728492401596E-2</v>
      </c>
      <c r="O259" s="30">
        <f t="shared" si="573"/>
        <v>7.573520049980606E-2</v>
      </c>
      <c r="P259" s="30">
        <f t="shared" si="573"/>
        <v>5.8870202551732746E-2</v>
      </c>
      <c r="Q259" s="30">
        <f t="shared" si="573"/>
        <v>4.5323270245735216E-2</v>
      </c>
      <c r="R259" s="30">
        <f t="shared" si="573"/>
        <v>6.7203925055617841E-2</v>
      </c>
    </row>
    <row r="260" spans="2:18" x14ac:dyDescent="0.2">
      <c r="B260" s="26" t="s">
        <v>159</v>
      </c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</row>
    <row r="261" spans="2:18" x14ac:dyDescent="0.2">
      <c r="B261" s="4" t="s">
        <v>34</v>
      </c>
      <c r="C261" s="46">
        <f t="shared" ref="C261:R261" si="574">C51</f>
        <v>63122</v>
      </c>
      <c r="D261" s="46">
        <f t="shared" si="574"/>
        <v>62082</v>
      </c>
      <c r="E261" s="46">
        <f t="shared" si="574"/>
        <v>63191</v>
      </c>
      <c r="F261" s="46">
        <f t="shared" si="574"/>
        <v>66262</v>
      </c>
      <c r="G261" s="46">
        <f t="shared" si="574"/>
        <v>71665</v>
      </c>
      <c r="H261" s="46">
        <f t="shared" si="574"/>
        <v>69733</v>
      </c>
      <c r="I261" s="46">
        <f t="shared" si="574"/>
        <v>71416</v>
      </c>
      <c r="J261" s="46">
        <f t="shared" si="574"/>
        <v>74012</v>
      </c>
      <c r="K261" s="46">
        <f t="shared" si="574"/>
        <v>76585</v>
      </c>
      <c r="L261" s="46">
        <f t="shared" si="574"/>
        <v>78771</v>
      </c>
      <c r="M261" s="46">
        <f t="shared" si="574"/>
        <v>78546</v>
      </c>
      <c r="N261" s="46">
        <f t="shared" si="574"/>
        <v>85492</v>
      </c>
      <c r="O261" s="46">
        <f t="shared" si="574"/>
        <v>83243</v>
      </c>
      <c r="P261" s="46">
        <f t="shared" si="574"/>
        <v>83562</v>
      </c>
      <c r="Q261" s="46">
        <f t="shared" si="574"/>
        <v>84349</v>
      </c>
      <c r="R261" s="46">
        <f t="shared" si="574"/>
        <v>83876</v>
      </c>
    </row>
    <row r="262" spans="2:18" x14ac:dyDescent="0.2">
      <c r="B262" s="26" t="s">
        <v>157</v>
      </c>
      <c r="C262" s="30">
        <f t="shared" ref="C262:R262" si="575">C51/C$38</f>
        <v>3.6244204240414565E-2</v>
      </c>
      <c r="D262" s="30">
        <f t="shared" si="575"/>
        <v>3.2803568541292169E-2</v>
      </c>
      <c r="E262" s="30">
        <f t="shared" si="575"/>
        <v>3.2367215331542298E-2</v>
      </c>
      <c r="F262" s="30">
        <f t="shared" si="575"/>
        <v>3.3796228054918998E-2</v>
      </c>
      <c r="G262" s="30">
        <f t="shared" si="575"/>
        <v>3.5468258717104691E-2</v>
      </c>
      <c r="H262" s="30">
        <f t="shared" si="575"/>
        <v>3.1505792831554497E-2</v>
      </c>
      <c r="I262" s="30">
        <f t="shared" si="575"/>
        <v>3.2166833695542019E-2</v>
      </c>
      <c r="J262" s="30">
        <f t="shared" si="575"/>
        <v>3.394113268877038E-2</v>
      </c>
      <c r="K262" s="30">
        <f t="shared" si="575"/>
        <v>3.2333718937084664E-2</v>
      </c>
      <c r="L262" s="30">
        <f t="shared" si="575"/>
        <v>3.1322955573820754E-2</v>
      </c>
      <c r="M262" s="30">
        <f t="shared" si="575"/>
        <v>3.1774940249552172E-2</v>
      </c>
      <c r="N262" s="30">
        <f t="shared" si="575"/>
        <v>3.3975011127360587E-2</v>
      </c>
      <c r="O262" s="30">
        <f t="shared" si="575"/>
        <v>3.0809653244742118E-2</v>
      </c>
      <c r="P262" s="30">
        <f t="shared" si="575"/>
        <v>2.8105856580820734E-2</v>
      </c>
      <c r="Q262" s="30">
        <f t="shared" si="575"/>
        <v>3.0193916328032599E-2</v>
      </c>
      <c r="R262" s="30">
        <f t="shared" si="575"/>
        <v>2.9478685977977793E-2</v>
      </c>
    </row>
    <row r="263" spans="2:18" x14ac:dyDescent="0.2">
      <c r="B263" s="26" t="s">
        <v>159</v>
      </c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</row>
    <row r="264" spans="2:18" x14ac:dyDescent="0.2">
      <c r="B264" s="4" t="s">
        <v>35</v>
      </c>
      <c r="C264" s="46">
        <f t="shared" ref="C264:R264" si="576">C53</f>
        <v>3421</v>
      </c>
      <c r="D264" s="46">
        <f t="shared" si="576"/>
        <v>4965</v>
      </c>
      <c r="E264" s="46">
        <f t="shared" si="576"/>
        <v>5894</v>
      </c>
      <c r="F264" s="46">
        <f t="shared" si="576"/>
        <v>6984</v>
      </c>
      <c r="G264" s="46">
        <f t="shared" si="576"/>
        <v>5348</v>
      </c>
      <c r="H264" s="46">
        <f t="shared" si="576"/>
        <v>5253</v>
      </c>
      <c r="I264" s="46">
        <f t="shared" si="576"/>
        <v>7618</v>
      </c>
      <c r="J264" s="46">
        <f t="shared" si="576"/>
        <v>11341</v>
      </c>
      <c r="K264" s="46">
        <f t="shared" si="576"/>
        <v>6198</v>
      </c>
      <c r="L264" s="46">
        <f t="shared" si="576"/>
        <v>7538</v>
      </c>
      <c r="M264" s="46">
        <f t="shared" si="576"/>
        <v>9605</v>
      </c>
      <c r="N264" s="46">
        <f t="shared" si="576"/>
        <v>13590</v>
      </c>
      <c r="O264" s="46">
        <f t="shared" si="576"/>
        <v>7211</v>
      </c>
      <c r="P264" s="46">
        <f t="shared" si="576"/>
        <v>8995</v>
      </c>
      <c r="Q264" s="46">
        <f t="shared" si="576"/>
        <v>12786</v>
      </c>
      <c r="R264" s="46">
        <f t="shared" si="576"/>
        <v>12905</v>
      </c>
    </row>
    <row r="265" spans="2:18" x14ac:dyDescent="0.2">
      <c r="B265" s="26" t="s">
        <v>157</v>
      </c>
      <c r="C265" s="30">
        <f t="shared" ref="C265:R265" si="577">C53/C$38</f>
        <v>1.9643139112584872E-3</v>
      </c>
      <c r="D265" s="30">
        <f t="shared" si="577"/>
        <v>2.623461193381586E-3</v>
      </c>
      <c r="E265" s="30">
        <f t="shared" si="577"/>
        <v>3.0189800313986217E-3</v>
      </c>
      <c r="F265" s="30">
        <f t="shared" si="577"/>
        <v>3.5621148884059381E-3</v>
      </c>
      <c r="G265" s="30">
        <f t="shared" si="577"/>
        <v>2.6468184974405345E-3</v>
      </c>
      <c r="H265" s="30">
        <f t="shared" si="577"/>
        <v>2.3733372971786065E-3</v>
      </c>
      <c r="I265" s="30">
        <f t="shared" si="577"/>
        <v>3.4312610492416139E-3</v>
      </c>
      <c r="J265" s="30">
        <f t="shared" si="577"/>
        <v>5.2008645330938888E-3</v>
      </c>
      <c r="K265" s="30">
        <f t="shared" si="577"/>
        <v>2.6167577198152481E-3</v>
      </c>
      <c r="L265" s="30">
        <f t="shared" si="577"/>
        <v>2.997453874083874E-3</v>
      </c>
      <c r="M265" s="30">
        <f t="shared" si="577"/>
        <v>3.8855995352653047E-3</v>
      </c>
      <c r="N265" s="30">
        <f t="shared" si="577"/>
        <v>5.400743943536593E-3</v>
      </c>
      <c r="O265" s="30">
        <f t="shared" si="577"/>
        <v>2.6689140173688525E-3</v>
      </c>
      <c r="P265" s="30">
        <f t="shared" si="577"/>
        <v>3.0254443400646526E-3</v>
      </c>
      <c r="Q265" s="30">
        <f t="shared" si="577"/>
        <v>4.5769293550631876E-3</v>
      </c>
      <c r="R265" s="30">
        <f t="shared" si="577"/>
        <v>4.5355339137036037E-3</v>
      </c>
    </row>
    <row r="266" spans="2:18" x14ac:dyDescent="0.2">
      <c r="B266" s="26" t="s">
        <v>159</v>
      </c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</row>
    <row r="267" spans="2:18" x14ac:dyDescent="0.2">
      <c r="B267" s="4" t="s">
        <v>36</v>
      </c>
      <c r="C267" s="46">
        <f t="shared" ref="C267:R267" si="578">C55</f>
        <v>5668</v>
      </c>
      <c r="D267" s="46">
        <f t="shared" si="578"/>
        <v>4266</v>
      </c>
      <c r="E267" s="46">
        <f t="shared" si="578"/>
        <v>4658</v>
      </c>
      <c r="F267" s="46">
        <f t="shared" si="578"/>
        <v>4699</v>
      </c>
      <c r="G267" s="46">
        <f t="shared" si="578"/>
        <v>4310</v>
      </c>
      <c r="H267" s="46">
        <f t="shared" si="578"/>
        <v>4681</v>
      </c>
      <c r="I267" s="46">
        <f t="shared" si="578"/>
        <v>6363</v>
      </c>
      <c r="J267" s="46">
        <f t="shared" si="578"/>
        <v>5785</v>
      </c>
      <c r="K267" s="46">
        <f t="shared" si="578"/>
        <v>8361</v>
      </c>
      <c r="L267" s="46">
        <f t="shared" si="578"/>
        <v>16240</v>
      </c>
      <c r="M267" s="46">
        <f t="shared" si="578"/>
        <v>7241</v>
      </c>
      <c r="N267" s="46">
        <f t="shared" si="578"/>
        <v>6528</v>
      </c>
      <c r="O267" s="46">
        <f t="shared" si="578"/>
        <v>5479</v>
      </c>
      <c r="P267" s="46">
        <f t="shared" si="578"/>
        <v>5762</v>
      </c>
      <c r="Q267" s="46">
        <f t="shared" si="578"/>
        <v>15176</v>
      </c>
      <c r="R267" s="46">
        <f t="shared" si="578"/>
        <v>532</v>
      </c>
    </row>
    <row r="268" spans="2:18" x14ac:dyDescent="0.2">
      <c r="B268" s="26" t="s">
        <v>157</v>
      </c>
      <c r="C268" s="30">
        <f t="shared" ref="C268:R268" si="579">C55/C$38</f>
        <v>3.254525357793951E-3</v>
      </c>
      <c r="D268" s="30">
        <f t="shared" si="579"/>
        <v>2.2541159015036952E-3</v>
      </c>
      <c r="E268" s="30">
        <f t="shared" si="579"/>
        <v>2.3858854744239532E-3</v>
      </c>
      <c r="F268" s="30">
        <f t="shared" si="579"/>
        <v>2.3966749514060001E-3</v>
      </c>
      <c r="G268" s="30">
        <f t="shared" si="579"/>
        <v>2.1330941892237667E-3</v>
      </c>
      <c r="H268" s="30">
        <f t="shared" si="579"/>
        <v>2.1149042238897881E-3</v>
      </c>
      <c r="I268" s="30">
        <f t="shared" si="579"/>
        <v>2.8659902935579402E-3</v>
      </c>
      <c r="J268" s="30">
        <f t="shared" si="579"/>
        <v>2.6529407745303009E-3</v>
      </c>
      <c r="K268" s="30">
        <f t="shared" si="579"/>
        <v>3.5299631002541606E-3</v>
      </c>
      <c r="L268" s="30">
        <f t="shared" si="579"/>
        <v>6.4577674336856079E-3</v>
      </c>
      <c r="M268" s="30">
        <f t="shared" si="579"/>
        <v>2.9292687386627872E-3</v>
      </c>
      <c r="N268" s="30">
        <f t="shared" si="579"/>
        <v>2.5942646404272908E-3</v>
      </c>
      <c r="O268" s="30">
        <f t="shared" si="579"/>
        <v>2.0278712940180201E-3</v>
      </c>
      <c r="P268" s="30">
        <f t="shared" si="579"/>
        <v>1.9380333838190694E-3</v>
      </c>
      <c r="Q268" s="30">
        <f t="shared" si="579"/>
        <v>5.4324636236851975E-3</v>
      </c>
      <c r="R268" s="30">
        <f t="shared" si="579"/>
        <v>1.8697435428828492E-4</v>
      </c>
    </row>
    <row r="269" spans="2:18" x14ac:dyDescent="0.2">
      <c r="B269" s="26" t="s">
        <v>159</v>
      </c>
    </row>
    <row r="270" spans="2:18" x14ac:dyDescent="0.2">
      <c r="B270" s="38" t="s">
        <v>37</v>
      </c>
      <c r="C270" s="46">
        <f>SUM(C246,C249,C252,C255,C258,C261,C264,C267)</f>
        <v>1580133</v>
      </c>
      <c r="D270" s="46">
        <f t="shared" ref="D270:R270" si="580">SUM(D246,D249,D252,D255,D258,D261,D264,D267)</f>
        <v>1647013</v>
      </c>
      <c r="E270" s="46">
        <f t="shared" si="580"/>
        <v>1712635</v>
      </c>
      <c r="F270" s="46">
        <f t="shared" si="580"/>
        <v>1802337</v>
      </c>
      <c r="G270" s="46">
        <f t="shared" si="580"/>
        <v>1830318</v>
      </c>
      <c r="H270" s="46">
        <f t="shared" si="580"/>
        <v>1875741</v>
      </c>
      <c r="I270" s="46">
        <f t="shared" si="580"/>
        <v>1883922</v>
      </c>
      <c r="J270" s="46">
        <f t="shared" si="580"/>
        <v>1884268</v>
      </c>
      <c r="K270" s="46">
        <f t="shared" si="580"/>
        <v>2000974</v>
      </c>
      <c r="L270" s="46">
        <f t="shared" si="580"/>
        <v>2082991</v>
      </c>
      <c r="M270" s="46">
        <f t="shared" si="580"/>
        <v>2076998</v>
      </c>
      <c r="N270" s="46">
        <f t="shared" si="580"/>
        <v>2152873</v>
      </c>
      <c r="O270" s="46">
        <f t="shared" si="580"/>
        <v>2260556</v>
      </c>
      <c r="P270" s="46">
        <f t="shared" si="580"/>
        <v>2387064</v>
      </c>
      <c r="Q270" s="46">
        <f t="shared" si="580"/>
        <v>2320320</v>
      </c>
      <c r="R270" s="46">
        <f t="shared" si="580"/>
        <v>2429578</v>
      </c>
    </row>
    <row r="271" spans="2:18" ht="15" x14ac:dyDescent="0.25">
      <c r="B271" s="40" t="s">
        <v>38</v>
      </c>
    </row>
    <row r="281" spans="3:18" x14ac:dyDescent="0.2">
      <c r="C281" s="46"/>
      <c r="D281" s="46"/>
      <c r="E281" s="46"/>
      <c r="F281" s="46"/>
      <c r="G281" s="46"/>
      <c r="H281" s="46"/>
      <c r="I281" s="46"/>
      <c r="J281" s="46"/>
      <c r="K281" s="46"/>
      <c r="L281" s="46"/>
      <c r="M281" s="46"/>
      <c r="N281" s="46"/>
      <c r="O281" s="46"/>
      <c r="P281" s="46"/>
      <c r="Q281" s="46"/>
      <c r="R281" s="46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B83EC-8F51-4978-B10C-867BBEAF434B}">
  <dimension ref="B2:E42"/>
  <sheetViews>
    <sheetView showGridLines="0" workbookViewId="0">
      <selection activeCell="H22" sqref="H22"/>
    </sheetView>
  </sheetViews>
  <sheetFormatPr defaultRowHeight="15" x14ac:dyDescent="0.25"/>
  <cols>
    <col min="2" max="2" width="21.85546875" bestFit="1" customWidth="1"/>
    <col min="3" max="4" width="12" bestFit="1" customWidth="1"/>
    <col min="5" max="5" width="10.5703125" bestFit="1" customWidth="1"/>
  </cols>
  <sheetData>
    <row r="2" spans="2:5" x14ac:dyDescent="0.25">
      <c r="B2" s="312" t="s">
        <v>404</v>
      </c>
      <c r="C2" s="313">
        <v>45714</v>
      </c>
      <c r="D2" s="313">
        <v>46022</v>
      </c>
      <c r="E2" s="313">
        <v>46387</v>
      </c>
    </row>
    <row r="3" spans="2:5" x14ac:dyDescent="0.25">
      <c r="B3" t="s">
        <v>403</v>
      </c>
      <c r="D3" s="200">
        <f>Model!AS58/1000</f>
        <v>2007.3006303476709</v>
      </c>
      <c r="E3" s="200">
        <f>Model!AT58/1000</f>
        <v>2222.7977024110983</v>
      </c>
    </row>
    <row r="4" spans="2:5" ht="3.75" customHeight="1" x14ac:dyDescent="0.25"/>
    <row r="5" spans="2:5" x14ac:dyDescent="0.25">
      <c r="B5" s="294" t="s">
        <v>402</v>
      </c>
      <c r="C5" s="53"/>
      <c r="D5" s="53"/>
      <c r="E5" s="53"/>
    </row>
    <row r="6" spans="2:5" x14ac:dyDescent="0.25">
      <c r="B6" t="s">
        <v>148</v>
      </c>
      <c r="C6" s="203">
        <v>47.8</v>
      </c>
      <c r="D6" s="203">
        <f t="shared" ref="D6:E8" si="0">C6</f>
        <v>47.8</v>
      </c>
      <c r="E6" s="203">
        <f t="shared" si="0"/>
        <v>47.8</v>
      </c>
    </row>
    <row r="7" spans="2:5" x14ac:dyDescent="0.25">
      <c r="B7" t="s">
        <v>150</v>
      </c>
      <c r="C7" s="203">
        <v>35.9</v>
      </c>
      <c r="D7" s="203">
        <f t="shared" si="0"/>
        <v>35.9</v>
      </c>
      <c r="E7" s="203">
        <f t="shared" si="0"/>
        <v>35.9</v>
      </c>
    </row>
    <row r="8" spans="2:5" x14ac:dyDescent="0.25">
      <c r="B8" t="s">
        <v>149</v>
      </c>
      <c r="C8" s="203">
        <v>26.9</v>
      </c>
      <c r="D8" s="203">
        <f t="shared" si="0"/>
        <v>26.9</v>
      </c>
      <c r="E8" s="203">
        <f t="shared" si="0"/>
        <v>26.9</v>
      </c>
    </row>
    <row r="9" spans="2:5" ht="3.75" customHeight="1" x14ac:dyDescent="0.25"/>
    <row r="10" spans="2:5" x14ac:dyDescent="0.25">
      <c r="B10" s="314" t="s">
        <v>327</v>
      </c>
      <c r="C10" s="315"/>
      <c r="D10" s="315"/>
      <c r="E10" s="315"/>
    </row>
    <row r="11" spans="2:5" x14ac:dyDescent="0.25">
      <c r="B11" t="s">
        <v>148</v>
      </c>
      <c r="D11" s="200">
        <f>D6*D$3</f>
        <v>95948.970130618662</v>
      </c>
      <c r="E11" s="200">
        <f>E6*E$3</f>
        <v>106249.73017525049</v>
      </c>
    </row>
    <row r="12" spans="2:5" x14ac:dyDescent="0.25">
      <c r="B12" t="s">
        <v>150</v>
      </c>
      <c r="D12" s="200">
        <f>D7*D$3</f>
        <v>72062.092629481383</v>
      </c>
      <c r="E12" s="200">
        <f>E7*E$3</f>
        <v>79798.437516558421</v>
      </c>
    </row>
    <row r="13" spans="2:5" x14ac:dyDescent="0.25">
      <c r="B13" t="s">
        <v>149</v>
      </c>
      <c r="D13" s="200">
        <f>D8*D$3</f>
        <v>53996.386956352348</v>
      </c>
      <c r="E13" s="200">
        <f>E8*E$3</f>
        <v>59793.258194858543</v>
      </c>
    </row>
    <row r="14" spans="2:5" ht="3.75" customHeight="1" x14ac:dyDescent="0.25"/>
    <row r="15" spans="2:5" x14ac:dyDescent="0.25">
      <c r="B15" t="s">
        <v>279</v>
      </c>
      <c r="D15" s="7">
        <f>-SUM(TSM!L17:L21)</f>
        <v>-3514.2449999999999</v>
      </c>
      <c r="E15" s="7">
        <f>D15</f>
        <v>-3514.2449999999999</v>
      </c>
    </row>
    <row r="16" spans="2:5" ht="3.75" customHeight="1" x14ac:dyDescent="0.25"/>
    <row r="17" spans="2:5" x14ac:dyDescent="0.25">
      <c r="B17" s="314" t="s">
        <v>405</v>
      </c>
      <c r="C17" s="315"/>
      <c r="D17" s="315"/>
      <c r="E17" s="315"/>
    </row>
    <row r="18" spans="2:5" x14ac:dyDescent="0.25">
      <c r="B18" t="s">
        <v>148</v>
      </c>
      <c r="D18" s="200">
        <f>D11+D$15</f>
        <v>92434.725130618666</v>
      </c>
      <c r="E18" s="200">
        <f>E11+E$15</f>
        <v>102735.48517525049</v>
      </c>
    </row>
    <row r="19" spans="2:5" x14ac:dyDescent="0.25">
      <c r="B19" t="s">
        <v>150</v>
      </c>
      <c r="D19" s="200">
        <f>D12+D$15</f>
        <v>68547.847629481388</v>
      </c>
      <c r="E19" s="200">
        <f>E12+E$15</f>
        <v>76284.192516558425</v>
      </c>
    </row>
    <row r="20" spans="2:5" x14ac:dyDescent="0.25">
      <c r="B20" t="s">
        <v>149</v>
      </c>
      <c r="D20" s="200">
        <f>D13+D$15</f>
        <v>50482.141956352345</v>
      </c>
      <c r="E20" s="200">
        <f>E13+E$15</f>
        <v>56279.01319485854</v>
      </c>
    </row>
    <row r="21" spans="2:5" ht="3.75" customHeight="1" x14ac:dyDescent="0.25"/>
    <row r="22" spans="2:5" x14ac:dyDescent="0.25">
      <c r="B22" t="s">
        <v>281</v>
      </c>
      <c r="D22" s="200">
        <f>TSM!L15</f>
        <v>1367.0009547211484</v>
      </c>
      <c r="E22" s="200">
        <f>D22</f>
        <v>1367.0009547211484</v>
      </c>
    </row>
    <row r="23" spans="2:5" ht="3.75" customHeight="1" x14ac:dyDescent="0.25"/>
    <row r="24" spans="2:5" x14ac:dyDescent="0.25">
      <c r="B24" s="314" t="s">
        <v>406</v>
      </c>
      <c r="C24" s="314"/>
      <c r="D24" s="314"/>
      <c r="E24" s="314"/>
    </row>
    <row r="25" spans="2:5" x14ac:dyDescent="0.25">
      <c r="B25" t="s">
        <v>148</v>
      </c>
      <c r="D25" s="299">
        <f>D18/D$22</f>
        <v>67.618625145345433</v>
      </c>
      <c r="E25" s="299">
        <f t="shared" ref="E25:E27" si="1">E18/E$22</f>
        <v>75.153923499788107</v>
      </c>
    </row>
    <row r="26" spans="2:5" x14ac:dyDescent="0.25">
      <c r="B26" t="s">
        <v>150</v>
      </c>
      <c r="D26" s="299">
        <f t="shared" ref="D26" si="2">D19/D$22</f>
        <v>50.14469623648823</v>
      </c>
      <c r="E26" s="299">
        <f t="shared" si="1"/>
        <v>55.804052113569647</v>
      </c>
    </row>
    <row r="27" spans="2:5" x14ac:dyDescent="0.25">
      <c r="B27" t="s">
        <v>149</v>
      </c>
      <c r="D27" s="299">
        <f t="shared" ref="D27" si="3">D20/D$22</f>
        <v>36.929119750797895</v>
      </c>
      <c r="E27" s="299">
        <f t="shared" si="1"/>
        <v>41.169695602984255</v>
      </c>
    </row>
    <row r="28" spans="2:5" ht="3.75" customHeight="1" x14ac:dyDescent="0.25"/>
    <row r="29" spans="2:5" x14ac:dyDescent="0.25">
      <c r="B29" t="s">
        <v>283</v>
      </c>
      <c r="D29" s="212">
        <f>TSM!C6</f>
        <v>54.33</v>
      </c>
      <c r="E29" s="212">
        <f>D29</f>
        <v>54.33</v>
      </c>
    </row>
    <row r="30" spans="2:5" x14ac:dyDescent="0.25">
      <c r="B30" t="s">
        <v>407</v>
      </c>
      <c r="D30" s="299">
        <f>AVERAGE(D26:D27)</f>
        <v>43.536907993643062</v>
      </c>
      <c r="E30" s="299">
        <f>AVERAGE(E26:E27)</f>
        <v>48.486873858276951</v>
      </c>
    </row>
    <row r="31" spans="2:5" ht="3.75" customHeight="1" x14ac:dyDescent="0.25"/>
    <row r="32" spans="2:5" x14ac:dyDescent="0.25">
      <c r="C32" s="195">
        <f>C2</f>
        <v>45714</v>
      </c>
      <c r="D32" s="195">
        <f>D2</f>
        <v>46022</v>
      </c>
    </row>
    <row r="33" spans="2:5" x14ac:dyDescent="0.25">
      <c r="C33" s="212">
        <f>-D29</f>
        <v>-54.33</v>
      </c>
      <c r="D33" s="212">
        <f>(D29-D30)+D29</f>
        <v>65.123092006356927</v>
      </c>
    </row>
    <row r="34" spans="2:5" ht="3.75" customHeight="1" thickBot="1" x14ac:dyDescent="0.3"/>
    <row r="35" spans="2:5" x14ac:dyDescent="0.25">
      <c r="B35" s="300" t="s">
        <v>408</v>
      </c>
      <c r="C35" s="301">
        <f>XIRR(C33:D33,C32:D32)</f>
        <v>0.23953573107719417</v>
      </c>
    </row>
    <row r="36" spans="2:5" ht="15.75" thickBot="1" x14ac:dyDescent="0.3">
      <c r="B36" s="302" t="s">
        <v>409</v>
      </c>
      <c r="C36" s="303">
        <f>D33/-C33</f>
        <v>1.1986580527582722</v>
      </c>
    </row>
    <row r="37" spans="2:5" x14ac:dyDescent="0.25">
      <c r="C37" s="37"/>
    </row>
    <row r="38" spans="2:5" x14ac:dyDescent="0.25">
      <c r="C38" s="195">
        <f>C32</f>
        <v>45714</v>
      </c>
      <c r="D38" s="195"/>
      <c r="E38" s="195">
        <f>E2</f>
        <v>46387</v>
      </c>
    </row>
    <row r="39" spans="2:5" x14ac:dyDescent="0.25">
      <c r="C39" s="212">
        <f>C33</f>
        <v>-54.33</v>
      </c>
      <c r="D39" s="212"/>
      <c r="E39" s="212">
        <f>(D29-E30)+D29</f>
        <v>60.173126141723046</v>
      </c>
    </row>
    <row r="41" spans="2:5" x14ac:dyDescent="0.25">
      <c r="B41" t="s">
        <v>408</v>
      </c>
      <c r="C41" s="34">
        <f>XIRR(C39:E39,C38:E38)</f>
        <v>5.6963768601417553E-2</v>
      </c>
    </row>
    <row r="42" spans="2:5" x14ac:dyDescent="0.25">
      <c r="B42" t="s">
        <v>409</v>
      </c>
      <c r="C42" s="37">
        <f>E39/-C39</f>
        <v>1.1075487970131244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808480-8045-4D58-AE49-4B5543F88414}">
  <dimension ref="B2:R9"/>
  <sheetViews>
    <sheetView showGridLines="0" zoomScale="115" zoomScaleNormal="115" workbookViewId="0">
      <selection activeCell="H22" sqref="H22"/>
    </sheetView>
  </sheetViews>
  <sheetFormatPr defaultRowHeight="15" outlineLevelCol="1" x14ac:dyDescent="0.25"/>
  <cols>
    <col min="3" max="3" width="11" hidden="1" customWidth="1" outlineLevel="1"/>
    <col min="4" max="4" width="7.28515625" bestFit="1" customWidth="1" collapsed="1"/>
    <col min="5" max="6" width="7.28515625" bestFit="1" customWidth="1"/>
    <col min="7" max="7" width="1.140625" customWidth="1"/>
    <col min="9" max="9" width="0" hidden="1" customWidth="1" outlineLevel="1"/>
    <col min="10" max="10" width="7.28515625" bestFit="1" customWidth="1" collapsed="1"/>
    <col min="11" max="12" width="7.28515625" bestFit="1" customWidth="1"/>
    <col min="13" max="13" width="1.140625" customWidth="1"/>
    <col min="15" max="15" width="0" hidden="1" customWidth="1" outlineLevel="1"/>
    <col min="16" max="16" width="6.140625" bestFit="1" customWidth="1" collapsed="1"/>
    <col min="17" max="17" width="6.140625" bestFit="1" customWidth="1"/>
    <col min="18" max="18" width="6.42578125" bestFit="1" customWidth="1"/>
  </cols>
  <sheetData>
    <row r="2" spans="2:18" x14ac:dyDescent="0.25">
      <c r="B2" s="294" t="s">
        <v>399</v>
      </c>
      <c r="C2" s="294"/>
      <c r="D2" s="294"/>
      <c r="E2" s="294"/>
      <c r="F2" s="294"/>
      <c r="G2" s="296"/>
      <c r="H2" s="294" t="s">
        <v>400</v>
      </c>
      <c r="I2" s="294"/>
      <c r="J2" s="294"/>
      <c r="K2" s="294"/>
      <c r="L2" s="294"/>
      <c r="M2" s="296"/>
      <c r="N2" s="294" t="s">
        <v>401</v>
      </c>
      <c r="O2" s="294"/>
      <c r="P2" s="294"/>
      <c r="Q2" s="294"/>
      <c r="R2" s="294"/>
    </row>
    <row r="3" spans="2:18" x14ac:dyDescent="0.25">
      <c r="B3" s="295"/>
      <c r="C3" s="295">
        <v>2024</v>
      </c>
      <c r="D3" s="297">
        <v>2025</v>
      </c>
      <c r="E3" s="297">
        <f>D3+1</f>
        <v>2026</v>
      </c>
      <c r="F3" s="297">
        <f>E3+1</f>
        <v>2027</v>
      </c>
      <c r="G3" s="298"/>
      <c r="H3" s="297"/>
      <c r="I3" s="297">
        <v>2024</v>
      </c>
      <c r="J3" s="297">
        <v>2025</v>
      </c>
      <c r="K3" s="297">
        <f>J3+1</f>
        <v>2026</v>
      </c>
      <c r="L3" s="297">
        <f>K3+1</f>
        <v>2027</v>
      </c>
      <c r="M3" s="298"/>
      <c r="N3" s="297"/>
      <c r="O3" s="297">
        <v>2024</v>
      </c>
      <c r="P3" s="297">
        <v>2025</v>
      </c>
      <c r="Q3" s="297">
        <f>P3+1</f>
        <v>2026</v>
      </c>
      <c r="R3" s="297">
        <f>Q3+1</f>
        <v>2027</v>
      </c>
    </row>
    <row r="5" spans="2:18" x14ac:dyDescent="0.25">
      <c r="B5" t="s">
        <v>396</v>
      </c>
      <c r="C5" s="200">
        <f>Model!AQ38/1000</f>
        <v>11313.851000000001</v>
      </c>
      <c r="D5" s="200">
        <f>Model!AR38/1000</f>
        <v>12389.140532803543</v>
      </c>
      <c r="E5" s="200">
        <f>Model!AS38/1000</f>
        <v>13589.127421399093</v>
      </c>
      <c r="F5" s="200">
        <f>Model!AT38/1000</f>
        <v>14850.629949203143</v>
      </c>
      <c r="H5" t="s">
        <v>396</v>
      </c>
      <c r="I5" s="200">
        <f>C5</f>
        <v>11313.851000000001</v>
      </c>
      <c r="J5" s="200">
        <v>12667</v>
      </c>
      <c r="K5" s="200">
        <v>14354</v>
      </c>
      <c r="L5" s="200">
        <v>16339</v>
      </c>
      <c r="N5" t="s">
        <v>396</v>
      </c>
      <c r="O5" s="200">
        <f>C5-I5</f>
        <v>0</v>
      </c>
      <c r="P5" s="200">
        <f t="shared" ref="P5:R5" si="0">D5-J5</f>
        <v>-277.85946719645654</v>
      </c>
      <c r="Q5" s="200">
        <f t="shared" si="0"/>
        <v>-764.87257860090722</v>
      </c>
      <c r="R5" s="200">
        <f t="shared" si="0"/>
        <v>-1488.370050796857</v>
      </c>
    </row>
    <row r="6" spans="2:18" x14ac:dyDescent="0.25">
      <c r="B6" s="207" t="s">
        <v>397</v>
      </c>
      <c r="D6" s="292">
        <f>D5/C5-1</f>
        <v>9.504186795491143E-2</v>
      </c>
      <c r="E6" s="292">
        <f t="shared" ref="E6:F6" si="1">E5/D5-1</f>
        <v>9.6857960842260615E-2</v>
      </c>
      <c r="F6" s="292">
        <f t="shared" si="1"/>
        <v>9.2831753554502239E-2</v>
      </c>
      <c r="H6" s="207" t="s">
        <v>397</v>
      </c>
      <c r="J6" s="292">
        <f>J5/I5-1</f>
        <v>0.11960109780480566</v>
      </c>
      <c r="K6" s="292">
        <f t="shared" ref="K6" si="2">K5/J5-1</f>
        <v>0.13318070577090069</v>
      </c>
      <c r="L6" s="292">
        <f t="shared" ref="L6" si="3">L5/K5-1</f>
        <v>0.1382889786819006</v>
      </c>
      <c r="N6" s="207" t="s">
        <v>397</v>
      </c>
      <c r="O6" s="34">
        <f>C6-I6</f>
        <v>0</v>
      </c>
      <c r="P6" s="34">
        <f t="shared" ref="P6" si="4">D6-J6</f>
        <v>-2.4559229849894226E-2</v>
      </c>
      <c r="Q6" s="34">
        <f t="shared" ref="Q6" si="5">E6-K6</f>
        <v>-3.6322744928640072E-2</v>
      </c>
      <c r="R6" s="34">
        <f t="shared" ref="R6" si="6">F6-L6</f>
        <v>-4.545722512739836E-2</v>
      </c>
    </row>
    <row r="8" spans="2:18" x14ac:dyDescent="0.25">
      <c r="B8" t="s">
        <v>260</v>
      </c>
      <c r="C8" s="200">
        <f>Model!AQ58/1000</f>
        <v>1916.3330000000001</v>
      </c>
      <c r="D8" s="200">
        <f>Model!AR58/1000</f>
        <v>1936.8100009371899</v>
      </c>
      <c r="E8" s="200">
        <f>Model!AS58/1000</f>
        <v>2007.3006303476709</v>
      </c>
      <c r="F8" s="200">
        <f>Model!AT58/1000</f>
        <v>2222.7977024110983</v>
      </c>
      <c r="H8" t="s">
        <v>260</v>
      </c>
      <c r="I8" s="200">
        <f>C8</f>
        <v>1916.3330000000001</v>
      </c>
      <c r="J8" s="200">
        <v>2255</v>
      </c>
      <c r="K8" s="200">
        <v>2682</v>
      </c>
      <c r="L8" s="200">
        <v>3171</v>
      </c>
      <c r="N8" t="s">
        <v>260</v>
      </c>
      <c r="O8" s="200">
        <f>C8-I8</f>
        <v>0</v>
      </c>
      <c r="P8" s="200">
        <f t="shared" ref="P8:P9" si="7">D8-J8</f>
        <v>-318.1899990628101</v>
      </c>
      <c r="Q8" s="200">
        <f t="shared" ref="Q8:Q9" si="8">E8-K8</f>
        <v>-674.6993696523291</v>
      </c>
      <c r="R8" s="200">
        <f t="shared" ref="R8:R9" si="9">F8-L8</f>
        <v>-948.20229758890173</v>
      </c>
    </row>
    <row r="9" spans="2:18" x14ac:dyDescent="0.25">
      <c r="B9" s="207" t="s">
        <v>398</v>
      </c>
      <c r="C9" s="293">
        <f>C8/C5</f>
        <v>0.16937937400801903</v>
      </c>
      <c r="D9" s="293">
        <f t="shared" ref="D9:F9" si="10">D8/D5</f>
        <v>0.15633126412675444</v>
      </c>
      <c r="E9" s="293">
        <f t="shared" si="10"/>
        <v>0.14771372495828769</v>
      </c>
      <c r="F9" s="293">
        <f t="shared" si="10"/>
        <v>0.14967699754247593</v>
      </c>
      <c r="H9" s="207" t="s">
        <v>398</v>
      </c>
      <c r="I9" s="293">
        <f>I8/I5</f>
        <v>0.16937937400801903</v>
      </c>
      <c r="J9" s="293">
        <f t="shared" ref="J9:L9" si="11">J8/J5</f>
        <v>0.17802163100971027</v>
      </c>
      <c r="K9" s="293">
        <f t="shared" si="11"/>
        <v>0.18684687195206912</v>
      </c>
      <c r="L9" s="293">
        <f t="shared" si="11"/>
        <v>0.19407552481792031</v>
      </c>
      <c r="N9" s="207" t="s">
        <v>398</v>
      </c>
      <c r="O9" s="34">
        <f>C9-I9</f>
        <v>0</v>
      </c>
      <c r="P9" s="34">
        <f t="shared" si="7"/>
        <v>-2.1690366882955836E-2</v>
      </c>
      <c r="Q9" s="34">
        <f t="shared" si="8"/>
        <v>-3.9133146993781426E-2</v>
      </c>
      <c r="R9" s="34">
        <f t="shared" si="9"/>
        <v>-4.4398527275444383E-2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28CAC3-0BE9-4673-94BB-DD32E23BE8AF}">
  <dimension ref="A2:X80"/>
  <sheetViews>
    <sheetView showGridLines="0" zoomScale="97" zoomScaleNormal="25" workbookViewId="0">
      <selection activeCell="K42" sqref="K42"/>
    </sheetView>
  </sheetViews>
  <sheetFormatPr defaultRowHeight="14.25" outlineLevelRow="1" outlineLevelCol="1" x14ac:dyDescent="0.2"/>
  <cols>
    <col min="1" max="1" width="9.140625" style="4"/>
    <col min="2" max="2" width="30.140625" style="4" bestFit="1" customWidth="1"/>
    <col min="3" max="3" width="13.7109375" style="4" customWidth="1" outlineLevel="1"/>
    <col min="4" max="8" width="12.7109375" style="4" customWidth="1" outlineLevel="1"/>
    <col min="9" max="9" width="9.140625" style="4" customWidth="1" outlineLevel="1"/>
    <col min="10" max="10" width="13.42578125" style="4" bestFit="1" customWidth="1"/>
    <col min="11" max="14" width="9.28515625" style="4" bestFit="1" customWidth="1"/>
    <col min="15" max="15" width="9.140625" style="4"/>
    <col min="16" max="16" width="37.28515625" style="4" bestFit="1" customWidth="1"/>
    <col min="17" max="24" width="9.28515625" style="4" bestFit="1" customWidth="1"/>
    <col min="25" max="16384" width="9.140625" style="4"/>
  </cols>
  <sheetData>
    <row r="2" spans="1:8" ht="15" x14ac:dyDescent="0.25">
      <c r="A2" s="4" t="s">
        <v>223</v>
      </c>
      <c r="B2" s="71" t="s">
        <v>216</v>
      </c>
      <c r="C2" s="71"/>
      <c r="D2" s="71"/>
      <c r="E2" s="71"/>
      <c r="F2" s="71"/>
      <c r="G2" s="71"/>
      <c r="H2" s="71"/>
    </row>
    <row r="4" spans="1:8" x14ac:dyDescent="0.2">
      <c r="B4" s="4" t="s">
        <v>224</v>
      </c>
      <c r="C4" s="59">
        <v>0.02</v>
      </c>
    </row>
    <row r="5" spans="1:8" x14ac:dyDescent="0.2">
      <c r="B5" s="4" t="s">
        <v>414</v>
      </c>
      <c r="C5" s="59">
        <v>0.01</v>
      </c>
    </row>
    <row r="6" spans="1:8" x14ac:dyDescent="0.2">
      <c r="C6" s="59"/>
    </row>
    <row r="8" spans="1:8" x14ac:dyDescent="0.2">
      <c r="B8" s="68" t="s">
        <v>217</v>
      </c>
      <c r="C8" s="68"/>
    </row>
    <row r="9" spans="1:8" x14ac:dyDescent="0.2">
      <c r="B9" s="4" t="s">
        <v>193</v>
      </c>
      <c r="C9" s="59">
        <v>0.8</v>
      </c>
    </row>
    <row r="10" spans="1:8" x14ac:dyDescent="0.2">
      <c r="B10" s="4" t="s">
        <v>194</v>
      </c>
      <c r="C10" s="59">
        <v>0.15</v>
      </c>
    </row>
    <row r="11" spans="1:8" x14ac:dyDescent="0.2">
      <c r="B11" s="4" t="s">
        <v>195</v>
      </c>
      <c r="C11" s="59">
        <v>0.05</v>
      </c>
    </row>
    <row r="13" spans="1:8" x14ac:dyDescent="0.2">
      <c r="B13" s="68" t="s">
        <v>218</v>
      </c>
      <c r="C13" s="68"/>
    </row>
    <row r="14" spans="1:8" x14ac:dyDescent="0.2">
      <c r="B14" s="4" t="s">
        <v>196</v>
      </c>
      <c r="C14" s="59">
        <v>0.25</v>
      </c>
    </row>
    <row r="15" spans="1:8" x14ac:dyDescent="0.2">
      <c r="B15" s="4" t="s">
        <v>197</v>
      </c>
      <c r="C15" s="59">
        <v>0.2</v>
      </c>
    </row>
    <row r="16" spans="1:8" x14ac:dyDescent="0.2">
      <c r="B16" s="4" t="s">
        <v>198</v>
      </c>
      <c r="C16" s="59">
        <v>0.15</v>
      </c>
    </row>
    <row r="17" spans="1:14" x14ac:dyDescent="0.2">
      <c r="B17" s="4" t="s">
        <v>199</v>
      </c>
      <c r="C17" s="59">
        <v>0.4</v>
      </c>
    </row>
    <row r="20" spans="1:14" ht="15" x14ac:dyDescent="0.25">
      <c r="A20" s="4" t="s">
        <v>223</v>
      </c>
      <c r="B20" s="71" t="s">
        <v>220</v>
      </c>
      <c r="C20" s="71"/>
      <c r="D20" s="71"/>
      <c r="E20" s="71"/>
      <c r="F20" s="71"/>
      <c r="G20" s="71"/>
      <c r="H20" s="71"/>
      <c r="J20" s="71" t="s">
        <v>412</v>
      </c>
      <c r="K20" s="71"/>
      <c r="L20" s="71"/>
      <c r="M20" s="71"/>
      <c r="N20" s="71"/>
    </row>
    <row r="23" spans="1:14" ht="15" x14ac:dyDescent="0.25">
      <c r="B23" s="20"/>
      <c r="C23" s="289">
        <v>2024</v>
      </c>
      <c r="D23" s="290">
        <f>C23+1</f>
        <v>2025</v>
      </c>
      <c r="E23" s="290">
        <f t="shared" ref="E23:H23" si="0">D23+1</f>
        <v>2026</v>
      </c>
      <c r="F23" s="290">
        <f t="shared" si="0"/>
        <v>2027</v>
      </c>
      <c r="G23" s="290">
        <f t="shared" si="0"/>
        <v>2028</v>
      </c>
      <c r="H23" s="290">
        <f t="shared" si="0"/>
        <v>2029</v>
      </c>
      <c r="J23" s="67" t="s">
        <v>160</v>
      </c>
      <c r="K23" s="67" t="s">
        <v>203</v>
      </c>
      <c r="L23" s="67" t="s">
        <v>204</v>
      </c>
      <c r="M23" s="67" t="s">
        <v>210</v>
      </c>
      <c r="N23" s="67" t="s">
        <v>205</v>
      </c>
    </row>
    <row r="24" spans="1:14" outlineLevel="1" x14ac:dyDescent="0.2"/>
    <row r="25" spans="1:14" outlineLevel="1" x14ac:dyDescent="0.2">
      <c r="B25" s="4" t="s">
        <v>235</v>
      </c>
      <c r="C25" s="72">
        <f>Model!AQ38</f>
        <v>11313851</v>
      </c>
      <c r="D25" s="72">
        <f>Model!AR38</f>
        <v>12389140.532803543</v>
      </c>
      <c r="E25" s="72">
        <f>Model!AS38</f>
        <v>13589127.421399092</v>
      </c>
      <c r="F25" s="72">
        <f>Model!AT38</f>
        <v>14850629.949203143</v>
      </c>
      <c r="G25" s="72">
        <f>Model!AU38</f>
        <v>16160846.724500865</v>
      </c>
      <c r="H25" s="72">
        <f>Model!AV38</f>
        <v>17687785.370075684</v>
      </c>
    </row>
    <row r="26" spans="1:14" outlineLevel="1" x14ac:dyDescent="0.2"/>
    <row r="27" spans="1:14" outlineLevel="1" collapsed="1" x14ac:dyDescent="0.2">
      <c r="B27" s="4" t="s">
        <v>219</v>
      </c>
      <c r="C27" s="72">
        <f>Model!AQ13</f>
        <v>3726</v>
      </c>
      <c r="D27" s="72">
        <f>Model!AR13</f>
        <v>4060.5</v>
      </c>
      <c r="E27" s="72">
        <f>Model!AS13</f>
        <v>4431</v>
      </c>
      <c r="F27" s="72">
        <f>Model!AT13</f>
        <v>4792.5</v>
      </c>
      <c r="G27" s="72">
        <f>Model!AU13</f>
        <v>5132</v>
      </c>
      <c r="H27" s="72">
        <f>Model!AV13</f>
        <v>5546.5</v>
      </c>
    </row>
    <row r="28" spans="1:14" outlineLevel="1" x14ac:dyDescent="0.2">
      <c r="C28" s="72"/>
    </row>
    <row r="29" spans="1:14" outlineLevel="1" x14ac:dyDescent="0.2">
      <c r="B29" s="4" t="s">
        <v>29</v>
      </c>
      <c r="C29" s="72">
        <f>Model!AQ41</f>
        <v>3374516</v>
      </c>
      <c r="D29" s="46">
        <f>SUM(D31,D47,D49)</f>
        <v>3856891.1710901861</v>
      </c>
      <c r="E29" s="46">
        <f t="shared" ref="E29:H29" si="1">SUM(E31,E47,E49)</f>
        <v>4347566.6229316937</v>
      </c>
      <c r="F29" s="46">
        <f t="shared" si="1"/>
        <v>4722003.0215962697</v>
      </c>
      <c r="G29" s="46">
        <f t="shared" si="1"/>
        <v>5053971.5415116772</v>
      </c>
      <c r="H29" s="46">
        <f t="shared" si="1"/>
        <v>5449438.6583072655</v>
      </c>
    </row>
    <row r="30" spans="1:14" outlineLevel="1" x14ac:dyDescent="0.2">
      <c r="C30" s="72"/>
    </row>
    <row r="31" spans="1:14" outlineLevel="1" x14ac:dyDescent="0.2">
      <c r="B31" s="26" t="s">
        <v>193</v>
      </c>
      <c r="C31" s="72">
        <f>C29*C$9</f>
        <v>2699612.8000000003</v>
      </c>
      <c r="D31" s="46">
        <f>SUM(D34,D37,D40,D43)</f>
        <v>3168489.9070901861</v>
      </c>
      <c r="E31" s="46">
        <f t="shared" ref="E31:H31" si="2">SUM(E34,E37,E40,E43)</f>
        <v>3645397.3336516935</v>
      </c>
      <c r="F31" s="46">
        <f t="shared" si="2"/>
        <v>4005790.3465306694</v>
      </c>
      <c r="G31" s="46">
        <f t="shared" si="2"/>
        <v>4323434.6129447659</v>
      </c>
      <c r="H31" s="46">
        <f t="shared" si="2"/>
        <v>4704290.9911690159</v>
      </c>
    </row>
    <row r="32" spans="1:14" outlineLevel="1" x14ac:dyDescent="0.2">
      <c r="B32" s="50" t="s">
        <v>200</v>
      </c>
      <c r="C32" s="72"/>
    </row>
    <row r="33" spans="2:16" outlineLevel="1" x14ac:dyDescent="0.2">
      <c r="B33" s="50"/>
      <c r="C33" s="72"/>
    </row>
    <row r="34" spans="2:16" x14ac:dyDescent="0.2">
      <c r="B34" s="50" t="s">
        <v>196</v>
      </c>
      <c r="C34" s="72">
        <f>C$31*C14</f>
        <v>674903.20000000007</v>
      </c>
      <c r="D34" s="46">
        <f>D35*D$27</f>
        <v>815170.67230005364</v>
      </c>
      <c r="E34" s="46">
        <f t="shared" ref="E34" si="3">E35*E$27</f>
        <v>964967.1725894151</v>
      </c>
      <c r="F34" s="46">
        <f t="shared" ref="F34" si="4">F35*F$27</f>
        <v>1060695.0188412019</v>
      </c>
      <c r="G34" s="46">
        <f t="shared" ref="G34" si="5">G35*G$27</f>
        <v>1164230.3615253777</v>
      </c>
      <c r="H34" s="46">
        <f t="shared" ref="H34" si="6">H35*H$27</f>
        <v>1289719.1723900079</v>
      </c>
    </row>
    <row r="35" spans="2:16" x14ac:dyDescent="0.2">
      <c r="B35" s="63" t="s">
        <v>201</v>
      </c>
      <c r="C35" s="72">
        <f>C34/C$27</f>
        <v>181.13344068706388</v>
      </c>
      <c r="D35" s="46">
        <f>C35*(1+D36)</f>
        <v>200.75623009482911</v>
      </c>
      <c r="E35" s="46">
        <f t="shared" ref="E35" si="7">D35*(1+E36)</f>
        <v>217.77638740451707</v>
      </c>
      <c r="F35" s="46">
        <f t="shared" ref="F35" si="8">E35*(1+F36)</f>
        <v>221.32394759336501</v>
      </c>
      <c r="G35" s="46">
        <f t="shared" ref="G35" si="9">F35*(1+G36)</f>
        <v>226.85704628319911</v>
      </c>
      <c r="H35" s="46">
        <f t="shared" ref="H35" si="10">G35*(1+H36)</f>
        <v>232.52847244027907</v>
      </c>
    </row>
    <row r="36" spans="2:16" x14ac:dyDescent="0.2">
      <c r="B36" s="63" t="s">
        <v>202</v>
      </c>
      <c r="C36" s="72"/>
      <c r="D36" s="62">
        <f>$L$36-$K$36+R57+$N$36</f>
        <v>0.10833333333333327</v>
      </c>
      <c r="E36" s="62">
        <f t="shared" ref="E36:H36" si="11">$L$36-$K$36+S57+$N$36</f>
        <v>8.4780219780219754E-2</v>
      </c>
      <c r="F36" s="62">
        <f t="shared" si="11"/>
        <v>1.6289921194525082E-2</v>
      </c>
      <c r="G36" s="62">
        <f t="shared" si="11"/>
        <v>2.5000000000000001E-2</v>
      </c>
      <c r="H36" s="62">
        <f t="shared" si="11"/>
        <v>2.5000000000000001E-2</v>
      </c>
      <c r="J36" s="27">
        <f>L36-K36+M36+N36</f>
        <v>0.10833333333333327</v>
      </c>
      <c r="K36" s="62">
        <v>1.2E-2</v>
      </c>
      <c r="L36" s="62">
        <v>1.7000000000000001E-2</v>
      </c>
      <c r="M36" s="62">
        <f>R57</f>
        <v>8.3333333333333259E-2</v>
      </c>
      <c r="N36" s="62">
        <f>$C$4</f>
        <v>0.02</v>
      </c>
    </row>
    <row r="37" spans="2:16" x14ac:dyDescent="0.2">
      <c r="B37" s="50" t="s">
        <v>197</v>
      </c>
      <c r="C37" s="72">
        <f>C$31*C15</f>
        <v>539922.56000000006</v>
      </c>
      <c r="D37" s="46">
        <f>D38*D$27</f>
        <v>653313.32557749865</v>
      </c>
      <c r="E37" s="46">
        <f t="shared" ref="E37" si="12">E38*E$27</f>
        <v>774792.62308451557</v>
      </c>
      <c r="F37" s="46">
        <f t="shared" ref="F37" si="13">F38*F$27</f>
        <v>853330.54960512673</v>
      </c>
      <c r="G37" s="46">
        <f t="shared" ref="G37" si="14">G38*G$27</f>
        <v>938452.43085007719</v>
      </c>
      <c r="H37" s="46">
        <f t="shared" ref="H37" si="15">H38*H$27</f>
        <v>1041633.8310050899</v>
      </c>
      <c r="P37" s="32">
        <f>L39-K39</f>
        <v>7.0000000000000001E-3</v>
      </c>
    </row>
    <row r="38" spans="2:16" x14ac:dyDescent="0.2">
      <c r="B38" s="63" t="s">
        <v>201</v>
      </c>
      <c r="C38" s="72">
        <f>C37/C$27</f>
        <v>144.90675254965112</v>
      </c>
      <c r="D38" s="46">
        <f>C38*(1+D39)</f>
        <v>160.8947975809626</v>
      </c>
      <c r="E38" s="46">
        <f t="shared" ref="E38:H38" si="16">D38*(1+E39)</f>
        <v>174.8572834765325</v>
      </c>
      <c r="F38" s="46">
        <f t="shared" si="16"/>
        <v>178.05540941160703</v>
      </c>
      <c r="G38" s="46">
        <f t="shared" si="16"/>
        <v>182.86290546572042</v>
      </c>
      <c r="H38" s="46">
        <f t="shared" si="16"/>
        <v>187.80020391329487</v>
      </c>
      <c r="J38" s="27">
        <f>1.5%+1%-0.5%+2%</f>
        <v>0.04</v>
      </c>
    </row>
    <row r="39" spans="2:16" x14ac:dyDescent="0.2">
      <c r="B39" s="63" t="s">
        <v>202</v>
      </c>
      <c r="C39" s="72"/>
      <c r="D39" s="62">
        <f>$L$39-$K$39+R57+$N$39</f>
        <v>0.11033333333333327</v>
      </c>
      <c r="E39" s="62">
        <f t="shared" ref="E39:H39" si="17">$L$39-$K$39+S57+$N$39</f>
        <v>8.6780219780219756E-2</v>
      </c>
      <c r="F39" s="62">
        <f t="shared" si="17"/>
        <v>1.8289921194525081E-2</v>
      </c>
      <c r="G39" s="62">
        <f t="shared" si="17"/>
        <v>2.7E-2</v>
      </c>
      <c r="H39" s="62">
        <f t="shared" si="17"/>
        <v>2.7E-2</v>
      </c>
      <c r="J39" s="27">
        <f>L39-K39+M39+N39</f>
        <v>0.11033333333333327</v>
      </c>
      <c r="K39" s="62">
        <v>-0.01</v>
      </c>
      <c r="L39" s="62">
        <v>-3.0000000000000001E-3</v>
      </c>
      <c r="M39" s="62">
        <f>R57</f>
        <v>8.3333333333333259E-2</v>
      </c>
      <c r="N39" s="62">
        <f>$C$4</f>
        <v>0.02</v>
      </c>
    </row>
    <row r="40" spans="2:16" x14ac:dyDescent="0.2">
      <c r="B40" s="50" t="s">
        <v>198</v>
      </c>
      <c r="C40" s="72">
        <f>C$31*C16</f>
        <v>404941.92000000004</v>
      </c>
      <c r="D40" s="46">
        <f>D41*D$27</f>
        <v>598563.8868126336</v>
      </c>
      <c r="E40" s="46">
        <f t="shared" ref="E40:H40" si="18">E41*E$27</f>
        <v>782166.67512976285</v>
      </c>
      <c r="F40" s="46">
        <f t="shared" si="18"/>
        <v>945824.49797938042</v>
      </c>
      <c r="G40" s="46">
        <f t="shared" si="18"/>
        <v>1051892.7348622524</v>
      </c>
      <c r="H40" s="46">
        <f t="shared" si="18"/>
        <v>1180701.7203527174</v>
      </c>
    </row>
    <row r="41" spans="2:16" x14ac:dyDescent="0.2">
      <c r="B41" s="63" t="s">
        <v>201</v>
      </c>
      <c r="C41" s="72">
        <f>C40/C$27</f>
        <v>108.68006441223834</v>
      </c>
      <c r="D41" s="46">
        <f>C41*(1+D42)</f>
        <v>147.41137466140466</v>
      </c>
      <c r="E41" s="46">
        <f t="shared" ref="E41" si="19">D41*(1+E42)</f>
        <v>176.52147937931909</v>
      </c>
      <c r="F41" s="46">
        <f t="shared" ref="F41" si="20">E41*(1+F42)</f>
        <v>197.35513781520717</v>
      </c>
      <c r="G41" s="46">
        <f t="shared" ref="G41" si="21">F41*(1+G42)</f>
        <v>204.9674074166509</v>
      </c>
      <c r="H41" s="46">
        <f t="shared" ref="H41" si="22">G41*(1+H42)</f>
        <v>212.87329313129317</v>
      </c>
    </row>
    <row r="42" spans="2:16" x14ac:dyDescent="0.2">
      <c r="B42" s="63" t="s">
        <v>202</v>
      </c>
      <c r="C42" s="72"/>
      <c r="D42" s="62">
        <f>$L$42-$K$42+S73+$N$42</f>
        <v>0.35637916170396416</v>
      </c>
      <c r="E42" s="62">
        <f>$L$42-$K$42+T73+$N$42</f>
        <v>0.1974752951376964</v>
      </c>
      <c r="F42" s="62">
        <f>$L$42-$K$42+U73+$N$42</f>
        <v>0.11802336185456254</v>
      </c>
      <c r="G42" s="62">
        <f t="shared" ref="G42:H42" si="23">$L$42-$K$42+X73+$N$42</f>
        <v>3.8571428571428645E-2</v>
      </c>
      <c r="H42" s="62">
        <f t="shared" si="23"/>
        <v>3.8571428571428645E-2</v>
      </c>
      <c r="J42" s="27">
        <f>L42-K42+M42+N42</f>
        <v>0.35637916170396416</v>
      </c>
      <c r="K42" s="62">
        <f>2.86/2.8-1</f>
        <v>2.1428571428571352E-2</v>
      </c>
      <c r="L42" s="62">
        <v>0.04</v>
      </c>
      <c r="M42" s="62">
        <f>S73</f>
        <v>0.31780773313253552</v>
      </c>
      <c r="N42" s="62">
        <f>$C$4</f>
        <v>0.02</v>
      </c>
    </row>
    <row r="43" spans="2:16" x14ac:dyDescent="0.2">
      <c r="B43" s="50" t="s">
        <v>199</v>
      </c>
      <c r="C43" s="72">
        <f>C$31*C17</f>
        <v>1079845.1200000001</v>
      </c>
      <c r="D43" s="46">
        <f>C43*(1+D44)</f>
        <v>1101442.0224000001</v>
      </c>
      <c r="E43" s="46">
        <f t="shared" ref="E43" si="24">D43*(1+E44)</f>
        <v>1123470.8628480001</v>
      </c>
      <c r="F43" s="46">
        <f t="shared" ref="F43" si="25">E43*(1+F44)</f>
        <v>1145940.2801049601</v>
      </c>
      <c r="G43" s="46">
        <f t="shared" ref="G43" si="26">F43*(1+G44)</f>
        <v>1168859.0857070594</v>
      </c>
      <c r="H43" s="46">
        <f t="shared" ref="H43" si="27">G43*(1+H44)</f>
        <v>1192236.2674212006</v>
      </c>
    </row>
    <row r="44" spans="2:16" x14ac:dyDescent="0.2">
      <c r="B44" s="63" t="s">
        <v>202</v>
      </c>
      <c r="C44" s="72">
        <f>C43/C$27</f>
        <v>289.81350509930223</v>
      </c>
      <c r="D44" s="62">
        <f>$C$4</f>
        <v>0.02</v>
      </c>
      <c r="E44" s="62">
        <f>D44</f>
        <v>0.02</v>
      </c>
      <c r="F44" s="62">
        <f t="shared" ref="F44:H44" si="28">E44</f>
        <v>0.02</v>
      </c>
      <c r="G44" s="62">
        <f t="shared" si="28"/>
        <v>0.02</v>
      </c>
      <c r="H44" s="62">
        <f t="shared" si="28"/>
        <v>0.02</v>
      </c>
    </row>
    <row r="45" spans="2:16" x14ac:dyDescent="0.2">
      <c r="C45" s="72"/>
    </row>
    <row r="46" spans="2:16" x14ac:dyDescent="0.2">
      <c r="B46" s="50"/>
    </row>
    <row r="47" spans="2:16" x14ac:dyDescent="0.2">
      <c r="B47" s="26" t="s">
        <v>194</v>
      </c>
      <c r="C47" s="72">
        <f>C29*C$10</f>
        <v>506177.39999999997</v>
      </c>
      <c r="D47" s="46">
        <f>C47*(1+D48)</f>
        <v>516300.94799999997</v>
      </c>
      <c r="E47" s="46">
        <f t="shared" ref="E47" si="29">D47*(1+E48)</f>
        <v>526626.96695999999</v>
      </c>
      <c r="F47" s="46">
        <f t="shared" ref="F47" si="30">E47*(1+F48)</f>
        <v>537159.5062992</v>
      </c>
      <c r="G47" s="46">
        <f t="shared" ref="G47" si="31">F47*(1+G48)</f>
        <v>547902.69642518403</v>
      </c>
      <c r="H47" s="46">
        <f t="shared" ref="H47" si="32">G47*(1+H48)</f>
        <v>558860.75035368768</v>
      </c>
    </row>
    <row r="48" spans="2:16" x14ac:dyDescent="0.2">
      <c r="B48" s="50" t="s">
        <v>155</v>
      </c>
      <c r="D48" s="62">
        <f>$C$4</f>
        <v>0.02</v>
      </c>
      <c r="E48" s="62">
        <f>D48</f>
        <v>0.02</v>
      </c>
      <c r="F48" s="62">
        <f t="shared" ref="F48:H48" si="33">E48</f>
        <v>0.02</v>
      </c>
      <c r="G48" s="62">
        <f t="shared" si="33"/>
        <v>0.02</v>
      </c>
      <c r="H48" s="62">
        <f t="shared" si="33"/>
        <v>0.02</v>
      </c>
      <c r="J48" s="4" t="s">
        <v>413</v>
      </c>
    </row>
    <row r="49" spans="1:24" x14ac:dyDescent="0.2">
      <c r="B49" s="26" t="s">
        <v>195</v>
      </c>
      <c r="C49" s="72">
        <f>C29*C$11</f>
        <v>168725.80000000002</v>
      </c>
      <c r="D49" s="46">
        <f>C49*(1+D50)</f>
        <v>172100.31600000002</v>
      </c>
      <c r="E49" s="46">
        <f t="shared" ref="E49" si="34">D49*(1+E50)</f>
        <v>175542.32232000004</v>
      </c>
      <c r="F49" s="46">
        <f t="shared" ref="F49" si="35">E49*(1+F50)</f>
        <v>179053.16876640005</v>
      </c>
      <c r="G49" s="46">
        <f t="shared" ref="G49" si="36">F49*(1+G50)</f>
        <v>182634.23214172805</v>
      </c>
      <c r="H49" s="46">
        <f t="shared" ref="H49" si="37">G49*(1+H50)</f>
        <v>186286.91678456261</v>
      </c>
    </row>
    <row r="50" spans="1:24" x14ac:dyDescent="0.2">
      <c r="B50" s="50" t="s">
        <v>155</v>
      </c>
      <c r="D50" s="62">
        <f>$C$4</f>
        <v>0.02</v>
      </c>
      <c r="E50" s="62">
        <f>D50</f>
        <v>0.02</v>
      </c>
      <c r="F50" s="62">
        <f t="shared" ref="F50:H50" si="38">E50</f>
        <v>0.02</v>
      </c>
      <c r="G50" s="62">
        <f t="shared" si="38"/>
        <v>0.02</v>
      </c>
      <c r="H50" s="62">
        <f t="shared" si="38"/>
        <v>0.02</v>
      </c>
    </row>
    <row r="52" spans="1:24" ht="15" x14ac:dyDescent="0.25">
      <c r="A52" s="4" t="s">
        <v>223</v>
      </c>
      <c r="B52" s="40" t="s">
        <v>395</v>
      </c>
      <c r="C52" s="291">
        <f>Model!AQ58</f>
        <v>1916333</v>
      </c>
      <c r="D52" s="56">
        <f>Model!AR58</f>
        <v>1936810.0009371899</v>
      </c>
      <c r="E52" s="56">
        <f>Model!AS58</f>
        <v>2007300.630347671</v>
      </c>
      <c r="F52" s="56">
        <f>Model!AT58</f>
        <v>2222797.7024110984</v>
      </c>
      <c r="G52" s="56">
        <f>Model!AU58</f>
        <v>2503543.5549376849</v>
      </c>
      <c r="H52" s="56">
        <f>Model!AV58</f>
        <v>2822139.3868233953</v>
      </c>
      <c r="P52" s="71" t="s">
        <v>221</v>
      </c>
      <c r="Q52" s="71"/>
      <c r="R52" s="71"/>
      <c r="S52" s="71"/>
      <c r="T52" s="71"/>
      <c r="U52" s="71"/>
      <c r="V52" s="71"/>
      <c r="W52" s="71"/>
      <c r="X52" s="71"/>
    </row>
    <row r="53" spans="1:24" ht="15" x14ac:dyDescent="0.25">
      <c r="B53" s="4" t="s">
        <v>410</v>
      </c>
      <c r="C53" s="304">
        <f>C34+C37+C40</f>
        <v>1619767.6800000002</v>
      </c>
      <c r="P53" s="70" t="s">
        <v>165</v>
      </c>
      <c r="Q53" s="70">
        <v>2024</v>
      </c>
      <c r="R53" s="70">
        <f>Q53+1</f>
        <v>2025</v>
      </c>
      <c r="S53" s="70">
        <f t="shared" ref="S53:V53" si="39">R53+1</f>
        <v>2026</v>
      </c>
      <c r="T53" s="70">
        <f t="shared" si="39"/>
        <v>2027</v>
      </c>
      <c r="U53" s="70">
        <f t="shared" si="39"/>
        <v>2028</v>
      </c>
      <c r="V53" s="70">
        <f t="shared" si="39"/>
        <v>2029</v>
      </c>
    </row>
    <row r="54" spans="1:24" x14ac:dyDescent="0.2">
      <c r="C54" s="30">
        <f>C52/Model!AQ38</f>
        <v>0.16937937400801903</v>
      </c>
      <c r="D54" s="30">
        <f>D52/Model!AR38</f>
        <v>0.15633126412675444</v>
      </c>
      <c r="E54" s="30">
        <f>E52/Model!AS38</f>
        <v>0.14771372495828772</v>
      </c>
      <c r="F54" s="30">
        <f>F52/Model!AT38</f>
        <v>0.14967699754247593</v>
      </c>
      <c r="G54" s="30">
        <f>G52/Model!AU38</f>
        <v>0.1549141327565563</v>
      </c>
      <c r="H54" s="30">
        <f>H52/Model!AV38</f>
        <v>0.1595530094795197</v>
      </c>
    </row>
    <row r="55" spans="1:24" ht="15" x14ac:dyDescent="0.25">
      <c r="P55" s="69" t="s">
        <v>222</v>
      </c>
      <c r="Q55" s="68"/>
      <c r="R55" s="68"/>
      <c r="S55" s="68"/>
      <c r="T55" s="68"/>
      <c r="U55" s="68"/>
      <c r="V55" s="68"/>
    </row>
    <row r="56" spans="1:24" x14ac:dyDescent="0.2">
      <c r="B56" s="4" t="s">
        <v>234</v>
      </c>
      <c r="C56" s="30">
        <f>C53/C25</f>
        <v>0.14316678556222812</v>
      </c>
      <c r="P56" s="4" t="s">
        <v>415</v>
      </c>
      <c r="Q56" s="4">
        <v>4.2</v>
      </c>
      <c r="R56" s="18">
        <f>AVERAGE(R59:R60)</f>
        <v>4.55</v>
      </c>
      <c r="S56" s="18">
        <f>S60</f>
        <v>4.8220000000000001</v>
      </c>
      <c r="T56" s="18">
        <f>T60</f>
        <v>4.78</v>
      </c>
    </row>
    <row r="57" spans="1:24" x14ac:dyDescent="0.2">
      <c r="P57" s="4" t="s">
        <v>208</v>
      </c>
      <c r="R57" s="29">
        <f>R56/Q56-1</f>
        <v>8.3333333333333259E-2</v>
      </c>
      <c r="S57" s="29">
        <f>S56/R56-1</f>
        <v>5.9780219780219745E-2</v>
      </c>
      <c r="T57" s="29">
        <f>T56/S56-1</f>
        <v>-8.710078805474919E-3</v>
      </c>
      <c r="U57" s="59">
        <v>0</v>
      </c>
      <c r="V57" s="59">
        <v>0</v>
      </c>
    </row>
    <row r="58" spans="1:24" x14ac:dyDescent="0.2">
      <c r="R58" s="29"/>
      <c r="S58" s="29"/>
      <c r="T58" s="73"/>
      <c r="U58" s="74"/>
      <c r="V58" s="74"/>
    </row>
    <row r="59" spans="1:24" x14ac:dyDescent="0.2">
      <c r="P59" s="4" t="s">
        <v>206</v>
      </c>
      <c r="Q59" s="91">
        <f>Q56</f>
        <v>4.2</v>
      </c>
      <c r="R59" s="33">
        <v>4.3499999999999996</v>
      </c>
    </row>
    <row r="60" spans="1:24" x14ac:dyDescent="0.2">
      <c r="P60" s="4" t="s">
        <v>207</v>
      </c>
      <c r="Q60" s="91">
        <f>Q56</f>
        <v>4.2</v>
      </c>
      <c r="R60" s="33">
        <f>4.75</f>
        <v>4.75</v>
      </c>
      <c r="S60" s="33">
        <f>(486+492+494+470+469)/5/100</f>
        <v>4.8220000000000001</v>
      </c>
      <c r="T60" s="33">
        <f>(481+488+465)/3/100</f>
        <v>4.78</v>
      </c>
    </row>
    <row r="63" spans="1:24" ht="15" x14ac:dyDescent="0.25">
      <c r="P63" s="69" t="s">
        <v>198</v>
      </c>
      <c r="Q63" s="68"/>
      <c r="R63" s="68"/>
      <c r="S63" s="68"/>
      <c r="T63" s="68"/>
      <c r="U63" s="68"/>
      <c r="V63" s="68"/>
      <c r="W63" s="68"/>
      <c r="X63" s="68"/>
    </row>
    <row r="65" spans="16:21" ht="15" x14ac:dyDescent="0.25">
      <c r="P65" s="70"/>
      <c r="Q65" s="70">
        <v>2024</v>
      </c>
      <c r="R65" s="70">
        <v>2025</v>
      </c>
      <c r="S65" s="70" t="s">
        <v>215</v>
      </c>
      <c r="T65" s="70">
        <v>2026</v>
      </c>
      <c r="U65" s="70">
        <f>T65+1</f>
        <v>2027</v>
      </c>
    </row>
    <row r="66" spans="16:21" x14ac:dyDescent="0.2">
      <c r="P66" s="4" t="s">
        <v>213</v>
      </c>
      <c r="Q66" s="4">
        <f>(1550+975+850)/3</f>
        <v>1125</v>
      </c>
      <c r="R66" s="4">
        <f>(1955+1930)/2</f>
        <v>1942.5</v>
      </c>
    </row>
    <row r="67" spans="16:21" x14ac:dyDescent="0.2">
      <c r="P67" s="4" t="s">
        <v>208</v>
      </c>
      <c r="R67" s="29">
        <f>R66/Q66-1</f>
        <v>0.72666666666666657</v>
      </c>
    </row>
    <row r="68" spans="16:21" x14ac:dyDescent="0.2">
      <c r="P68" s="4" t="s">
        <v>212</v>
      </c>
      <c r="Q68" s="4">
        <f>(40+35+34+30)/4</f>
        <v>34.75</v>
      </c>
      <c r="R68" s="91">
        <v>45</v>
      </c>
    </row>
    <row r="69" spans="16:21" x14ac:dyDescent="0.2">
      <c r="P69" s="4" t="s">
        <v>208</v>
      </c>
      <c r="R69" s="29">
        <f>R68/Q68-1</f>
        <v>0.29496402877697836</v>
      </c>
    </row>
    <row r="70" spans="16:21" x14ac:dyDescent="0.2">
      <c r="P70" s="4" t="s">
        <v>214</v>
      </c>
      <c r="Q70" s="4">
        <f>(300.5+310+287+292)/4</f>
        <v>297.375</v>
      </c>
      <c r="R70" s="4">
        <v>302</v>
      </c>
    </row>
    <row r="71" spans="16:21" x14ac:dyDescent="0.2">
      <c r="P71" s="4" t="s">
        <v>208</v>
      </c>
      <c r="R71" s="29">
        <f>R70/Q70-1</f>
        <v>1.5552753257671359E-2</v>
      </c>
    </row>
    <row r="72" spans="16:21" x14ac:dyDescent="0.2">
      <c r="R72" s="29"/>
    </row>
    <row r="73" spans="16:21" x14ac:dyDescent="0.2">
      <c r="P73" s="38" t="s">
        <v>418</v>
      </c>
      <c r="Q73" s="38"/>
      <c r="R73" s="38"/>
      <c r="S73" s="305">
        <f>R80</f>
        <v>0.31780773313253552</v>
      </c>
      <c r="T73" s="305">
        <f>S73/2</f>
        <v>0.15890386656626776</v>
      </c>
      <c r="U73" s="305">
        <f>T73/2</f>
        <v>7.945193328313388E-2</v>
      </c>
    </row>
    <row r="74" spans="16:21" x14ac:dyDescent="0.2">
      <c r="S74" s="29"/>
      <c r="T74" s="29"/>
      <c r="U74" s="29"/>
    </row>
    <row r="75" spans="16:21" ht="15" x14ac:dyDescent="0.25">
      <c r="P75" s="70" t="s">
        <v>417</v>
      </c>
      <c r="Q75" s="70" t="s">
        <v>416</v>
      </c>
      <c r="R75" s="70" t="s">
        <v>163</v>
      </c>
    </row>
    <row r="77" spans="16:21" x14ac:dyDescent="0.2">
      <c r="P77" s="4" t="s">
        <v>209</v>
      </c>
      <c r="Q77" s="28">
        <v>0.15</v>
      </c>
      <c r="R77" s="32">
        <f>Q77*R67</f>
        <v>0.10899999999999999</v>
      </c>
    </row>
    <row r="78" spans="16:21" x14ac:dyDescent="0.2">
      <c r="P78" s="4" t="s">
        <v>211</v>
      </c>
      <c r="Q78" s="28">
        <v>0.7</v>
      </c>
      <c r="R78" s="32">
        <f>Q78*R69</f>
        <v>0.20647482014388485</v>
      </c>
    </row>
    <row r="79" spans="16:21" x14ac:dyDescent="0.2">
      <c r="P79" s="4" t="s">
        <v>214</v>
      </c>
      <c r="Q79" s="28">
        <v>0.15</v>
      </c>
      <c r="R79" s="32">
        <f>Q79*R71</f>
        <v>2.3329129886507038E-3</v>
      </c>
    </row>
    <row r="80" spans="16:21" ht="15" x14ac:dyDescent="0.25">
      <c r="P80" s="40" t="s">
        <v>411</v>
      </c>
      <c r="Q80" s="40"/>
      <c r="R80" s="306">
        <f>SUM(R77:R79)/SUM(Q77:Q80)</f>
        <v>0.31780773313253552</v>
      </c>
    </row>
  </sheetData>
  <pageMargins left="0.7" right="0.7" top="0.75" bottom="0.75" header="0.3" footer="0.3"/>
  <drawing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6A6340-2E77-461D-9715-0C693ADEE2DC}">
  <dimension ref="B1:T64"/>
  <sheetViews>
    <sheetView showGridLines="0" topLeftCell="A3" zoomScale="85" zoomScaleNormal="85" workbookViewId="0">
      <selection activeCell="E35" sqref="E35:F35"/>
    </sheetView>
  </sheetViews>
  <sheetFormatPr defaultRowHeight="14.25" x14ac:dyDescent="0.2"/>
  <cols>
    <col min="1" max="1" width="9.140625" style="4"/>
    <col min="2" max="2" width="22.85546875" style="4" bestFit="1" customWidth="1"/>
    <col min="3" max="3" width="11.7109375" style="4" customWidth="1"/>
    <col min="4" max="4" width="9.28515625" style="4" bestFit="1" customWidth="1"/>
    <col min="5" max="5" width="9.28515625" style="4" customWidth="1"/>
    <col min="6" max="6" width="9.85546875" style="4" customWidth="1"/>
    <col min="7" max="7" width="20.140625" style="4" bestFit="1" customWidth="1"/>
    <col min="8" max="8" width="12" style="4" bestFit="1" customWidth="1"/>
    <col min="9" max="9" width="12" style="4" customWidth="1"/>
    <col min="10" max="10" width="10.7109375" style="4" bestFit="1" customWidth="1"/>
    <col min="11" max="11" width="8.85546875" style="4" bestFit="1" customWidth="1"/>
    <col min="12" max="12" width="13.7109375" style="4" bestFit="1" customWidth="1"/>
    <col min="13" max="13" width="20.140625" style="4" bestFit="1" customWidth="1"/>
    <col min="14" max="15" width="34" style="4" bestFit="1" customWidth="1"/>
    <col min="16" max="16384" width="9.140625" style="4"/>
  </cols>
  <sheetData>
    <row r="1" spans="2:20" ht="15" thickBot="1" x14ac:dyDescent="0.25"/>
    <row r="2" spans="2:20" ht="15" thickBot="1" x14ac:dyDescent="0.25">
      <c r="L2" s="85" t="s">
        <v>168</v>
      </c>
      <c r="M2" s="213">
        <f>CORREL(O9:O17,H9:H17)</f>
        <v>0.89076708914098468</v>
      </c>
    </row>
    <row r="4" spans="2:20" ht="15" x14ac:dyDescent="0.25">
      <c r="B4" s="71" t="s">
        <v>227</v>
      </c>
      <c r="C4" s="71"/>
      <c r="D4" s="71"/>
      <c r="E4" s="71"/>
      <c r="F4" s="71"/>
      <c r="G4" s="71"/>
      <c r="H4" s="71"/>
      <c r="J4" s="71" t="s">
        <v>162</v>
      </c>
      <c r="K4" s="71"/>
      <c r="L4" s="71"/>
      <c r="M4" s="71"/>
      <c r="N4" s="71"/>
      <c r="O4" s="71"/>
    </row>
    <row r="5" spans="2:20" ht="15" x14ac:dyDescent="0.25">
      <c r="B5" s="70" t="s">
        <v>165</v>
      </c>
      <c r="C5" s="70" t="s">
        <v>144</v>
      </c>
      <c r="D5" s="70" t="s">
        <v>145</v>
      </c>
      <c r="E5" s="70" t="s">
        <v>146</v>
      </c>
      <c r="F5" s="70" t="s">
        <v>147</v>
      </c>
      <c r="G5" s="70" t="s">
        <v>166</v>
      </c>
      <c r="H5" s="70" t="s">
        <v>356</v>
      </c>
      <c r="J5" s="70" t="s">
        <v>149</v>
      </c>
      <c r="K5" s="70" t="s">
        <v>148</v>
      </c>
      <c r="L5" s="70" t="s">
        <v>163</v>
      </c>
      <c r="M5" s="70" t="s">
        <v>169</v>
      </c>
      <c r="N5" s="70" t="s">
        <v>164</v>
      </c>
      <c r="O5" s="70" t="s">
        <v>167</v>
      </c>
      <c r="S5" s="4" t="s">
        <v>357</v>
      </c>
      <c r="T5" s="4" t="s">
        <v>358</v>
      </c>
    </row>
    <row r="6" spans="2:20" ht="15" x14ac:dyDescent="0.25">
      <c r="B6" s="25"/>
      <c r="S6" s="28">
        <f>H9</f>
        <v>7.0484581497797461E-2</v>
      </c>
      <c r="T6" s="28">
        <f>O9</f>
        <v>1.8481012658227889</v>
      </c>
    </row>
    <row r="7" spans="2:20" ht="15" x14ac:dyDescent="0.25">
      <c r="B7" s="25">
        <v>2014</v>
      </c>
      <c r="C7" s="72">
        <v>42</v>
      </c>
      <c r="D7" s="72">
        <v>44</v>
      </c>
      <c r="E7" s="72">
        <v>43</v>
      </c>
      <c r="F7" s="72">
        <f>188-SUM(C7:E7)</f>
        <v>59</v>
      </c>
      <c r="G7" s="72">
        <f t="shared" ref="G7:G13" si="0">SUM(C7:F7)</f>
        <v>188</v>
      </c>
      <c r="H7" s="29"/>
      <c r="J7" s="72">
        <v>180</v>
      </c>
      <c r="K7" s="72">
        <v>195</v>
      </c>
      <c r="L7" s="72">
        <f t="shared" ref="L7:L13" si="1">AVERAGE(J7:K7)</f>
        <v>187.5</v>
      </c>
      <c r="M7" s="29">
        <f t="shared" ref="M7:M17" si="2">G7/L7-1</f>
        <v>2.666666666666595E-3</v>
      </c>
      <c r="N7" s="29"/>
      <c r="S7" s="28">
        <f t="shared" ref="S7:S14" si="3">H10</f>
        <v>-0.24691358024691357</v>
      </c>
      <c r="T7" s="28">
        <f t="shared" ref="T7:T14" si="4">O10</f>
        <v>-3.0604395604395656</v>
      </c>
    </row>
    <row r="8" spans="2:20" ht="15" x14ac:dyDescent="0.25">
      <c r="B8" s="25">
        <v>2015</v>
      </c>
      <c r="C8" s="72">
        <v>48</v>
      </c>
      <c r="D8" s="72">
        <v>47</v>
      </c>
      <c r="E8" s="72">
        <v>53</v>
      </c>
      <c r="F8" s="72">
        <f>227-SUM(C8:E8)</f>
        <v>79</v>
      </c>
      <c r="G8" s="72">
        <f t="shared" si="0"/>
        <v>227</v>
      </c>
      <c r="H8" s="29">
        <f t="shared" ref="H8:H13" si="5">G8/G7-1</f>
        <v>0.20744680851063824</v>
      </c>
      <c r="J8" s="72">
        <v>190</v>
      </c>
      <c r="K8" s="72">
        <v>205</v>
      </c>
      <c r="L8" s="72">
        <f t="shared" si="1"/>
        <v>197.5</v>
      </c>
      <c r="M8" s="29">
        <f t="shared" si="2"/>
        <v>0.14936708860759484</v>
      </c>
      <c r="N8" s="29">
        <f t="shared" ref="N8:N13" si="6">L8/L7-1</f>
        <v>5.3333333333333233E-2</v>
      </c>
      <c r="O8" s="28"/>
      <c r="S8" s="28">
        <f t="shared" si="3"/>
        <v>-0.36065573770491799</v>
      </c>
      <c r="T8" s="28">
        <f t="shared" si="4"/>
        <v>-6.7870370370370487</v>
      </c>
    </row>
    <row r="9" spans="2:20" ht="15" x14ac:dyDescent="0.25">
      <c r="B9" s="25">
        <v>2016</v>
      </c>
      <c r="C9" s="72">
        <v>58</v>
      </c>
      <c r="D9" s="72">
        <v>58</v>
      </c>
      <c r="E9" s="72">
        <v>55</v>
      </c>
      <c r="F9" s="72">
        <f>243-SUM(C9:E9)</f>
        <v>72</v>
      </c>
      <c r="G9" s="72">
        <f t="shared" si="0"/>
        <v>243</v>
      </c>
      <c r="H9" s="29">
        <f t="shared" si="5"/>
        <v>7.0484581497797461E-2</v>
      </c>
      <c r="J9" s="72">
        <v>220</v>
      </c>
      <c r="K9" s="72">
        <v>235</v>
      </c>
      <c r="L9" s="72">
        <f t="shared" si="1"/>
        <v>227.5</v>
      </c>
      <c r="M9" s="29">
        <f t="shared" si="2"/>
        <v>6.8131868131868112E-2</v>
      </c>
      <c r="N9" s="29">
        <f t="shared" si="6"/>
        <v>0.15189873417721511</v>
      </c>
      <c r="O9" s="28">
        <f>N9/$N$8-1</f>
        <v>1.8481012658227889</v>
      </c>
      <c r="S9" s="28">
        <f t="shared" si="3"/>
        <v>0.19658119658119655</v>
      </c>
      <c r="T9" s="28">
        <f t="shared" si="4"/>
        <v>4.4642857142882519E-3</v>
      </c>
    </row>
    <row r="10" spans="2:20" ht="15" x14ac:dyDescent="0.25">
      <c r="B10" s="25">
        <v>2017</v>
      </c>
      <c r="C10" s="72">
        <v>57</v>
      </c>
      <c r="D10" s="72">
        <v>50</v>
      </c>
      <c r="E10" s="72">
        <v>38</v>
      </c>
      <c r="F10" s="72">
        <f>183-SUM(C10:E10)</f>
        <v>38</v>
      </c>
      <c r="G10" s="72">
        <f t="shared" si="0"/>
        <v>183</v>
      </c>
      <c r="H10" s="29">
        <f t="shared" si="5"/>
        <v>-0.24691358024691357</v>
      </c>
      <c r="J10" s="72">
        <v>195</v>
      </c>
      <c r="K10" s="72">
        <v>210</v>
      </c>
      <c r="L10" s="72">
        <f t="shared" si="1"/>
        <v>202.5</v>
      </c>
      <c r="M10" s="29">
        <f t="shared" si="2"/>
        <v>-9.6296296296296324E-2</v>
      </c>
      <c r="N10" s="29">
        <f t="shared" si="6"/>
        <v>-0.10989010989010994</v>
      </c>
      <c r="O10" s="28">
        <f>N10/$N$8-1</f>
        <v>-3.0604395604395656</v>
      </c>
      <c r="S10" s="28">
        <f t="shared" si="3"/>
        <v>0.14999999999999991</v>
      </c>
      <c r="T10" s="28">
        <f t="shared" si="4"/>
        <v>0.27118644067796938</v>
      </c>
    </row>
    <row r="11" spans="2:20" ht="15" x14ac:dyDescent="0.25">
      <c r="B11" s="25">
        <v>2018</v>
      </c>
      <c r="C11" s="72">
        <v>15</v>
      </c>
      <c r="D11" s="72">
        <v>34</v>
      </c>
      <c r="E11" s="72">
        <v>28</v>
      </c>
      <c r="F11" s="72">
        <v>40</v>
      </c>
      <c r="G11" s="72">
        <f t="shared" si="0"/>
        <v>117</v>
      </c>
      <c r="H11" s="29">
        <f t="shared" si="5"/>
        <v>-0.36065573770491799</v>
      </c>
      <c r="J11" s="72">
        <v>130</v>
      </c>
      <c r="K11" s="72">
        <v>150</v>
      </c>
      <c r="L11" s="72">
        <f t="shared" si="1"/>
        <v>140</v>
      </c>
      <c r="M11" s="29">
        <f t="shared" si="2"/>
        <v>-0.16428571428571426</v>
      </c>
      <c r="N11" s="29">
        <f t="shared" si="6"/>
        <v>-0.30864197530864201</v>
      </c>
      <c r="O11" s="28">
        <f>N11/$N$8-1</f>
        <v>-6.7870370370370487</v>
      </c>
      <c r="P11" s="28"/>
      <c r="S11" s="28">
        <f t="shared" si="3"/>
        <v>0.3354037267080745</v>
      </c>
      <c r="T11" s="28">
        <f t="shared" si="4"/>
        <v>2.9801587301587267</v>
      </c>
    </row>
    <row r="12" spans="2:20" ht="15" x14ac:dyDescent="0.25">
      <c r="B12" s="25">
        <v>2019</v>
      </c>
      <c r="C12" s="72">
        <v>15</v>
      </c>
      <c r="D12" s="72">
        <v>20</v>
      </c>
      <c r="E12" s="72">
        <v>25</v>
      </c>
      <c r="F12" s="72">
        <v>80</v>
      </c>
      <c r="G12" s="72">
        <f t="shared" si="0"/>
        <v>140</v>
      </c>
      <c r="H12" s="29">
        <f t="shared" si="5"/>
        <v>0.19658119658119655</v>
      </c>
      <c r="J12" s="72">
        <v>140</v>
      </c>
      <c r="K12" s="72">
        <v>155</v>
      </c>
      <c r="L12" s="72">
        <f t="shared" si="1"/>
        <v>147.5</v>
      </c>
      <c r="M12" s="29">
        <f t="shared" si="2"/>
        <v>-5.084745762711862E-2</v>
      </c>
      <c r="N12" s="29">
        <f t="shared" si="6"/>
        <v>5.3571428571428603E-2</v>
      </c>
      <c r="O12" s="28">
        <f>N12/$N$8-1</f>
        <v>4.4642857142882519E-3</v>
      </c>
      <c r="S12" s="28">
        <f t="shared" si="3"/>
        <v>9.7674418604651203E-2</v>
      </c>
      <c r="T12" s="28">
        <f t="shared" si="4"/>
        <v>2.1343749999999968</v>
      </c>
    </row>
    <row r="13" spans="2:20" ht="15" x14ac:dyDescent="0.25">
      <c r="B13" s="25">
        <v>2020</v>
      </c>
      <c r="C13" s="72">
        <v>19</v>
      </c>
      <c r="D13" s="72">
        <v>37</v>
      </c>
      <c r="E13" s="72">
        <v>44</v>
      </c>
      <c r="F13" s="72">
        <v>61</v>
      </c>
      <c r="G13" s="72">
        <f t="shared" si="0"/>
        <v>161</v>
      </c>
      <c r="H13" s="29">
        <f t="shared" si="5"/>
        <v>0.14999999999999991</v>
      </c>
      <c r="J13" s="72">
        <v>150</v>
      </c>
      <c r="K13" s="72">
        <v>165</v>
      </c>
      <c r="L13" s="72">
        <f t="shared" si="1"/>
        <v>157.5</v>
      </c>
      <c r="M13" s="29">
        <f t="shared" si="2"/>
        <v>2.2222222222222143E-2</v>
      </c>
      <c r="N13" s="29">
        <f t="shared" si="6"/>
        <v>6.7796610169491567E-2</v>
      </c>
      <c r="O13" s="28">
        <f>N13/$N$8-1</f>
        <v>0.27118644067796938</v>
      </c>
      <c r="S13" s="28">
        <f t="shared" si="3"/>
        <v>0.14830508474576276</v>
      </c>
      <c r="T13" s="28">
        <f t="shared" si="4"/>
        <v>0.67268041237113363</v>
      </c>
    </row>
    <row r="14" spans="2:20" ht="15" x14ac:dyDescent="0.25">
      <c r="B14" s="25">
        <v>2021</v>
      </c>
      <c r="C14" s="72">
        <f>Model!C10</f>
        <v>40</v>
      </c>
      <c r="D14" s="72">
        <f>Model!D10</f>
        <v>56</v>
      </c>
      <c r="E14" s="72">
        <f>Model!E10</f>
        <v>41</v>
      </c>
      <c r="F14" s="72">
        <f>Model!F10</f>
        <v>78</v>
      </c>
      <c r="G14" s="72">
        <f>SUM(C14:F14)</f>
        <v>215</v>
      </c>
      <c r="H14" s="29">
        <f>G14/G13-1</f>
        <v>0.3354037267080745</v>
      </c>
      <c r="J14" s="72"/>
      <c r="K14" s="72"/>
      <c r="L14" s="72">
        <v>200</v>
      </c>
      <c r="M14" s="29">
        <f t="shared" si="2"/>
        <v>7.4999999999999956E-2</v>
      </c>
      <c r="N14" s="29">
        <f>L14/L13-1</f>
        <v>0.26984126984126977</v>
      </c>
      <c r="O14" s="28">
        <f>N14/$N$13-1</f>
        <v>2.9801587301587267</v>
      </c>
      <c r="S14" s="28">
        <f t="shared" si="3"/>
        <v>0.12177121771217703</v>
      </c>
      <c r="T14" s="28">
        <f t="shared" si="4"/>
        <v>-1</v>
      </c>
    </row>
    <row r="15" spans="2:20" ht="15" x14ac:dyDescent="0.25">
      <c r="B15" s="25">
        <v>2022</v>
      </c>
      <c r="C15" s="72">
        <f>Model!G10</f>
        <v>51</v>
      </c>
      <c r="D15" s="72">
        <f>Model!H10</f>
        <v>42</v>
      </c>
      <c r="E15" s="72">
        <f>Model!I10</f>
        <v>43</v>
      </c>
      <c r="F15" s="72">
        <f>Model!J10</f>
        <v>100</v>
      </c>
      <c r="G15" s="72">
        <f t="shared" ref="G15:G17" si="7">SUM(C15:F15)</f>
        <v>236</v>
      </c>
      <c r="H15" s="29">
        <f>G15/G14-1</f>
        <v>9.7674418604651203E-2</v>
      </c>
      <c r="I15" s="29"/>
      <c r="J15" s="72">
        <v>235</v>
      </c>
      <c r="K15" s="72">
        <v>250</v>
      </c>
      <c r="L15" s="72">
        <f>AVERAGE(J15:K15)</f>
        <v>242.5</v>
      </c>
      <c r="M15" s="29">
        <f t="shared" si="2"/>
        <v>-2.6804123711340222E-2</v>
      </c>
      <c r="N15" s="29">
        <f>L15/L14-1</f>
        <v>0.21249999999999991</v>
      </c>
      <c r="O15" s="28">
        <f t="shared" ref="O15:O22" si="8">N15/$N$13-1</f>
        <v>2.1343749999999968</v>
      </c>
    </row>
    <row r="16" spans="2:20" ht="15" x14ac:dyDescent="0.25">
      <c r="B16" s="25">
        <v>2023</v>
      </c>
      <c r="C16" s="72">
        <f>Model!K10</f>
        <v>41</v>
      </c>
      <c r="D16" s="72">
        <f>Model!L10</f>
        <v>47</v>
      </c>
      <c r="E16" s="72">
        <f>Model!M10</f>
        <v>62</v>
      </c>
      <c r="F16" s="72">
        <f>Model!N10</f>
        <v>121</v>
      </c>
      <c r="G16" s="72">
        <f t="shared" si="7"/>
        <v>271</v>
      </c>
      <c r="H16" s="29">
        <f t="shared" ref="H16:H22" si="9">G16/G15-1</f>
        <v>0.14830508474576276</v>
      </c>
      <c r="I16" s="29"/>
      <c r="J16" s="72">
        <v>255</v>
      </c>
      <c r="K16" s="72">
        <v>285</v>
      </c>
      <c r="L16" s="72">
        <f>AVERAGE(J16:K16)</f>
        <v>270</v>
      </c>
      <c r="M16" s="29">
        <f t="shared" si="2"/>
        <v>3.7037037037037646E-3</v>
      </c>
      <c r="N16" s="29">
        <f t="shared" ref="N16:N22" si="10">L16/L15-1</f>
        <v>0.11340206185567014</v>
      </c>
      <c r="O16" s="28">
        <f t="shared" si="8"/>
        <v>0.67268041237113363</v>
      </c>
      <c r="P16" s="28"/>
    </row>
    <row r="17" spans="2:16" ht="15" x14ac:dyDescent="0.25">
      <c r="B17" s="25">
        <v>2024</v>
      </c>
      <c r="C17" s="72">
        <f>Model!O10</f>
        <v>47</v>
      </c>
      <c r="D17" s="72">
        <f>Model!P10</f>
        <v>52</v>
      </c>
      <c r="E17" s="72">
        <f>Model!Q10</f>
        <v>86</v>
      </c>
      <c r="F17" s="72">
        <f>Model!R10</f>
        <v>119</v>
      </c>
      <c r="G17" s="72">
        <f t="shared" si="7"/>
        <v>304</v>
      </c>
      <c r="H17" s="29">
        <f t="shared" si="9"/>
        <v>0.12177121771217703</v>
      </c>
      <c r="I17" s="29"/>
      <c r="J17" s="72">
        <v>255</v>
      </c>
      <c r="K17" s="72">
        <v>285</v>
      </c>
      <c r="L17" s="72">
        <f>AVERAGE(J17:K17)</f>
        <v>270</v>
      </c>
      <c r="M17" s="29">
        <f t="shared" si="2"/>
        <v>0.125925925925926</v>
      </c>
      <c r="N17" s="29">
        <f t="shared" si="10"/>
        <v>0</v>
      </c>
      <c r="O17" s="28">
        <f t="shared" si="8"/>
        <v>-1</v>
      </c>
      <c r="P17" s="28"/>
    </row>
    <row r="18" spans="2:16" ht="15" x14ac:dyDescent="0.25">
      <c r="B18" s="82">
        <v>2025</v>
      </c>
      <c r="C18" s="83">
        <f>ROUND($G$18*C35,0)</f>
        <v>60</v>
      </c>
      <c r="D18" s="83">
        <f>ROUND($G$18*D35,0)</f>
        <v>76</v>
      </c>
      <c r="E18" s="83">
        <f>ROUND($G$18*E35,0)</f>
        <v>80</v>
      </c>
      <c r="F18" s="83">
        <f>ROUND($G$18*F35,0)</f>
        <v>130</v>
      </c>
      <c r="G18" s="81">
        <f>ROUND(L18*(1+M18),0)</f>
        <v>350</v>
      </c>
      <c r="H18" s="84">
        <f t="shared" si="9"/>
        <v>0.15131578947368429</v>
      </c>
      <c r="I18" s="29"/>
      <c r="J18" s="72">
        <v>315</v>
      </c>
      <c r="K18" s="72">
        <v>345</v>
      </c>
      <c r="L18" s="72">
        <f>AVERAGE(J18:K18)</f>
        <v>330</v>
      </c>
      <c r="M18" s="59">
        <f>M17*(1+AVERAGE(O15,O10))*0.9</f>
        <v>6.0856341575091136E-2</v>
      </c>
      <c r="N18" s="29">
        <f>L18/L17-1</f>
        <v>0.22222222222222232</v>
      </c>
      <c r="O18" s="28">
        <f t="shared" si="8"/>
        <v>2.2777777777777772</v>
      </c>
    </row>
    <row r="19" spans="2:16" ht="15" x14ac:dyDescent="0.25">
      <c r="B19" s="82">
        <f>B18+1</f>
        <v>2026</v>
      </c>
      <c r="C19" s="83">
        <f>ROUND($G$19*C$35,0)</f>
        <v>66</v>
      </c>
      <c r="D19" s="83">
        <f>ROUND($G$19*D$35,0)</f>
        <v>84</v>
      </c>
      <c r="E19" s="83">
        <f>ROUND($G$19*E$35,0)</f>
        <v>88</v>
      </c>
      <c r="F19" s="83">
        <f>ROUND($G$19*F$35,0)</f>
        <v>143</v>
      </c>
      <c r="G19" s="81">
        <f t="shared" ref="G19:G20" si="11">ROUND(L19*(1+M19),0)</f>
        <v>386</v>
      </c>
      <c r="H19" s="84">
        <f t="shared" si="9"/>
        <v>0.10285714285714276</v>
      </c>
      <c r="J19" s="72"/>
      <c r="K19" s="72"/>
      <c r="L19" s="81">
        <f>L18*(1+AVERAGE(N15,N9))</f>
        <v>390.1257911392405</v>
      </c>
      <c r="M19" s="59">
        <f>M18*(1+AVERAGE(O16,O10))</f>
        <v>-1.1798801581859423E-2</v>
      </c>
      <c r="N19" s="84">
        <f t="shared" si="10"/>
        <v>0.18219936708860751</v>
      </c>
      <c r="O19" s="74">
        <f t="shared" si="8"/>
        <v>1.6874406645569593</v>
      </c>
    </row>
    <row r="20" spans="2:16" ht="15" x14ac:dyDescent="0.25">
      <c r="B20" s="82">
        <f t="shared" ref="B20:B22" si="12">B19+1</f>
        <v>2027</v>
      </c>
      <c r="C20" s="83">
        <f>ROUND($G$20*C$35,0)</f>
        <v>64</v>
      </c>
      <c r="D20" s="83">
        <f>ROUND($G$20*D$35,0)</f>
        <v>82</v>
      </c>
      <c r="E20" s="83">
        <f>ROUND($G$20*E$35,0)</f>
        <v>86</v>
      </c>
      <c r="F20" s="83">
        <f>ROUND($G$20*F$35,0)</f>
        <v>140</v>
      </c>
      <c r="G20" s="81">
        <f t="shared" si="11"/>
        <v>377</v>
      </c>
      <c r="H20" s="84">
        <f t="shared" si="9"/>
        <v>-2.3316062176165775E-2</v>
      </c>
      <c r="J20" s="72"/>
      <c r="K20" s="72"/>
      <c r="L20" s="81">
        <f t="shared" ref="L20:L22" si="13">L19*(1+AVERAGE(N16,N10))</f>
        <v>390.81084265874409</v>
      </c>
      <c r="M20" s="59">
        <f>M19*-(1+AVERAGE(O11,O17))</f>
        <v>-3.4140050873435898E-2</v>
      </c>
      <c r="N20" s="84">
        <f t="shared" si="10"/>
        <v>1.7559759827801003E-3</v>
      </c>
      <c r="O20" s="74">
        <f t="shared" si="8"/>
        <v>-0.97409935425399352</v>
      </c>
    </row>
    <row r="21" spans="2:16" ht="15" x14ac:dyDescent="0.25">
      <c r="B21" s="82">
        <f t="shared" si="12"/>
        <v>2028</v>
      </c>
      <c r="C21" s="83">
        <f>ROUND($G$21*C$35,0)</f>
        <v>60</v>
      </c>
      <c r="D21" s="83">
        <f>ROUND($G$21*D$35,0)</f>
        <v>78</v>
      </c>
      <c r="E21" s="83">
        <f>ROUND($G$21*E$35,0)</f>
        <v>81</v>
      </c>
      <c r="F21" s="83">
        <f>ROUND($G$21*F$35,0)</f>
        <v>132</v>
      </c>
      <c r="G21" s="81">
        <f t="shared" ref="G21:G22" si="14">ROUND(L21*(1+M21),0)</f>
        <v>355</v>
      </c>
      <c r="H21" s="84">
        <f t="shared" si="9"/>
        <v>-5.8355437665782439E-2</v>
      </c>
      <c r="J21" s="72"/>
      <c r="K21" s="72"/>
      <c r="L21" s="81">
        <f t="shared" si="13"/>
        <v>330.50052743362926</v>
      </c>
      <c r="M21" s="59">
        <f>M20*-(1+AVERAGE(O12,O18))</f>
        <v>7.3097980949993105E-2</v>
      </c>
      <c r="N21" s="84">
        <f t="shared" si="10"/>
        <v>-0.15432098765432101</v>
      </c>
      <c r="O21" s="74">
        <f t="shared" si="8"/>
        <v>-3.2762345679012332</v>
      </c>
    </row>
    <row r="22" spans="2:16" ht="15" x14ac:dyDescent="0.25">
      <c r="B22" s="82">
        <f t="shared" si="12"/>
        <v>2029</v>
      </c>
      <c r="C22" s="83">
        <f>ROUND($G$22*C$35,0)</f>
        <v>73</v>
      </c>
      <c r="D22" s="83">
        <f>ROUND($G$22*D$35,0)</f>
        <v>94</v>
      </c>
      <c r="E22" s="83">
        <f>ROUND($G$22*E$35,0)</f>
        <v>98</v>
      </c>
      <c r="F22" s="83">
        <f>ROUND($G$22*F$35,0)</f>
        <v>159</v>
      </c>
      <c r="G22" s="81">
        <f t="shared" si="14"/>
        <v>430</v>
      </c>
      <c r="H22" s="84">
        <f t="shared" si="9"/>
        <v>0.21126760563380276</v>
      </c>
      <c r="J22" s="72"/>
      <c r="K22" s="72"/>
      <c r="L22" s="81">
        <f t="shared" si="13"/>
        <v>376.07550095870317</v>
      </c>
      <c r="M22" s="59">
        <f>M21*(1+AVERAGE(O13,O19))</f>
        <v>0.14468382436329458</v>
      </c>
      <c r="N22" s="84">
        <f t="shared" si="10"/>
        <v>0.13789682539682557</v>
      </c>
      <c r="O22" s="74">
        <f t="shared" si="8"/>
        <v>1.0339781746031758</v>
      </c>
    </row>
    <row r="24" spans="2:16" x14ac:dyDescent="0.2">
      <c r="B24" s="4">
        <f t="shared" ref="B24:B30" si="15">B25-1</f>
        <v>2014</v>
      </c>
      <c r="C24" s="29">
        <f t="shared" ref="C24:F34" si="16">C7/$G7</f>
        <v>0.22340425531914893</v>
      </c>
      <c r="D24" s="29">
        <f t="shared" si="16"/>
        <v>0.23404255319148937</v>
      </c>
      <c r="E24" s="29">
        <f t="shared" si="16"/>
        <v>0.22872340425531915</v>
      </c>
      <c r="F24" s="29">
        <f t="shared" si="16"/>
        <v>0.31382978723404253</v>
      </c>
    </row>
    <row r="25" spans="2:16" x14ac:dyDescent="0.2">
      <c r="B25" s="4">
        <f t="shared" si="15"/>
        <v>2015</v>
      </c>
      <c r="C25" s="29">
        <f t="shared" si="16"/>
        <v>0.21145374449339208</v>
      </c>
      <c r="D25" s="29">
        <f t="shared" si="16"/>
        <v>0.20704845814977973</v>
      </c>
      <c r="E25" s="29">
        <f t="shared" si="16"/>
        <v>0.23348017621145375</v>
      </c>
      <c r="F25" s="29">
        <f t="shared" si="16"/>
        <v>0.34801762114537443</v>
      </c>
    </row>
    <row r="26" spans="2:16" x14ac:dyDescent="0.2">
      <c r="B26" s="4">
        <f t="shared" si="15"/>
        <v>2016</v>
      </c>
      <c r="C26" s="29">
        <f t="shared" si="16"/>
        <v>0.23868312757201646</v>
      </c>
      <c r="D26" s="29">
        <f t="shared" si="16"/>
        <v>0.23868312757201646</v>
      </c>
      <c r="E26" s="29">
        <f t="shared" si="16"/>
        <v>0.22633744855967078</v>
      </c>
      <c r="F26" s="29">
        <f t="shared" si="16"/>
        <v>0.29629629629629628</v>
      </c>
    </row>
    <row r="27" spans="2:16" x14ac:dyDescent="0.2">
      <c r="B27" s="4">
        <f t="shared" si="15"/>
        <v>2017</v>
      </c>
      <c r="C27" s="29">
        <f t="shared" si="16"/>
        <v>0.31147540983606559</v>
      </c>
      <c r="D27" s="29">
        <f t="shared" si="16"/>
        <v>0.27322404371584702</v>
      </c>
      <c r="E27" s="29">
        <f t="shared" si="16"/>
        <v>0.20765027322404372</v>
      </c>
      <c r="F27" s="29">
        <f t="shared" si="16"/>
        <v>0.20765027322404372</v>
      </c>
    </row>
    <row r="28" spans="2:16" x14ac:dyDescent="0.2">
      <c r="B28" s="4">
        <f t="shared" si="15"/>
        <v>2018</v>
      </c>
      <c r="C28" s="29">
        <f t="shared" si="16"/>
        <v>0.12820512820512819</v>
      </c>
      <c r="D28" s="29">
        <f t="shared" si="16"/>
        <v>0.29059829059829062</v>
      </c>
      <c r="E28" s="29">
        <f t="shared" si="16"/>
        <v>0.23931623931623933</v>
      </c>
      <c r="F28" s="29">
        <f t="shared" si="16"/>
        <v>0.34188034188034189</v>
      </c>
    </row>
    <row r="29" spans="2:16" x14ac:dyDescent="0.2">
      <c r="B29" s="4">
        <f t="shared" si="15"/>
        <v>2019</v>
      </c>
      <c r="C29" s="29">
        <f t="shared" si="16"/>
        <v>0.10714285714285714</v>
      </c>
      <c r="D29" s="29">
        <f t="shared" si="16"/>
        <v>0.14285714285714285</v>
      </c>
      <c r="E29" s="29">
        <f t="shared" si="16"/>
        <v>0.17857142857142858</v>
      </c>
      <c r="F29" s="29">
        <f t="shared" si="16"/>
        <v>0.5714285714285714</v>
      </c>
    </row>
    <row r="30" spans="2:16" x14ac:dyDescent="0.2">
      <c r="B30" s="4">
        <f t="shared" si="15"/>
        <v>2020</v>
      </c>
      <c r="C30" s="29">
        <f t="shared" si="16"/>
        <v>0.11801242236024845</v>
      </c>
      <c r="D30" s="29">
        <f t="shared" si="16"/>
        <v>0.22981366459627328</v>
      </c>
      <c r="E30" s="29">
        <f t="shared" si="16"/>
        <v>0.27329192546583853</v>
      </c>
      <c r="F30" s="29">
        <f t="shared" si="16"/>
        <v>0.37888198757763975</v>
      </c>
    </row>
    <row r="31" spans="2:16" x14ac:dyDescent="0.2">
      <c r="B31" s="4">
        <f t="shared" ref="B31:B32" si="17">B32-1</f>
        <v>2021</v>
      </c>
      <c r="C31" s="29">
        <f t="shared" si="16"/>
        <v>0.18604651162790697</v>
      </c>
      <c r="D31" s="29">
        <f t="shared" si="16"/>
        <v>0.26046511627906976</v>
      </c>
      <c r="E31" s="29">
        <f t="shared" si="16"/>
        <v>0.19069767441860466</v>
      </c>
      <c r="F31" s="29">
        <f t="shared" si="16"/>
        <v>0.36279069767441863</v>
      </c>
    </row>
    <row r="32" spans="2:16" x14ac:dyDescent="0.2">
      <c r="B32" s="4">
        <f t="shared" si="17"/>
        <v>2022</v>
      </c>
      <c r="C32" s="29">
        <f t="shared" si="16"/>
        <v>0.21610169491525424</v>
      </c>
      <c r="D32" s="29">
        <f t="shared" si="16"/>
        <v>0.17796610169491525</v>
      </c>
      <c r="E32" s="29">
        <f t="shared" si="16"/>
        <v>0.18220338983050846</v>
      </c>
      <c r="F32" s="29">
        <f t="shared" si="16"/>
        <v>0.42372881355932202</v>
      </c>
    </row>
    <row r="33" spans="2:7" x14ac:dyDescent="0.2">
      <c r="B33" s="4">
        <f>B34-1</f>
        <v>2023</v>
      </c>
      <c r="C33" s="29">
        <f t="shared" si="16"/>
        <v>0.15129151291512916</v>
      </c>
      <c r="D33" s="29">
        <f t="shared" si="16"/>
        <v>0.17343173431734318</v>
      </c>
      <c r="E33" s="29">
        <f t="shared" si="16"/>
        <v>0.22878228782287824</v>
      </c>
      <c r="F33" s="29">
        <f t="shared" si="16"/>
        <v>0.44649446494464945</v>
      </c>
    </row>
    <row r="34" spans="2:7" x14ac:dyDescent="0.2">
      <c r="B34" s="4">
        <v>2024</v>
      </c>
      <c r="C34" s="29">
        <f t="shared" si="16"/>
        <v>0.15460526315789475</v>
      </c>
      <c r="D34" s="29">
        <f t="shared" si="16"/>
        <v>0.17105263157894737</v>
      </c>
      <c r="E34" s="29">
        <f t="shared" si="16"/>
        <v>0.28289473684210525</v>
      </c>
      <c r="F34" s="29">
        <f t="shared" si="16"/>
        <v>0.39144736842105265</v>
      </c>
    </row>
    <row r="35" spans="2:7" ht="15" x14ac:dyDescent="0.25">
      <c r="B35" s="79" t="s">
        <v>150</v>
      </c>
      <c r="C35" s="80">
        <f>MEDIAN(C25:C34)</f>
        <v>0.17032588739290086</v>
      </c>
      <c r="D35" s="80">
        <f t="shared" ref="D35:F35" si="18">MEDIAN(D25:D34)</f>
        <v>0.21843106137302651</v>
      </c>
      <c r="E35" s="80">
        <f t="shared" si="18"/>
        <v>0.22755986819127449</v>
      </c>
      <c r="F35" s="80">
        <f t="shared" si="18"/>
        <v>0.37083634262602916</v>
      </c>
    </row>
    <row r="44" spans="2:7" x14ac:dyDescent="0.2">
      <c r="C44" s="4" t="s">
        <v>153</v>
      </c>
      <c r="D44" s="4" t="s">
        <v>144</v>
      </c>
      <c r="E44" s="4" t="s">
        <v>145</v>
      </c>
      <c r="F44" s="4" t="s">
        <v>146</v>
      </c>
      <c r="G44" s="4" t="s">
        <v>147</v>
      </c>
    </row>
    <row r="45" spans="2:7" x14ac:dyDescent="0.2">
      <c r="C45" s="4">
        <v>2021</v>
      </c>
      <c r="D45" s="32">
        <f>Model!C28</f>
        <v>0.501</v>
      </c>
      <c r="E45" s="32">
        <f>Model!D28</f>
        <v>0.48499999999999999</v>
      </c>
      <c r="F45" s="32">
        <f>Model!E28</f>
        <v>0.42799999999999999</v>
      </c>
      <c r="G45" s="32">
        <f>Model!F28</f>
        <v>0.41599999999999998</v>
      </c>
    </row>
    <row r="46" spans="2:7" x14ac:dyDescent="0.2">
      <c r="C46" s="4">
        <v>2022</v>
      </c>
      <c r="D46" s="32">
        <f>Model!G28</f>
        <v>0.41899999999999998</v>
      </c>
      <c r="E46" s="32">
        <f>Model!H28</f>
        <v>0.39</v>
      </c>
      <c r="F46" s="32">
        <f>Model!I28</f>
        <v>0.372</v>
      </c>
      <c r="G46" s="32">
        <f>Model!J28</f>
        <v>0.374</v>
      </c>
    </row>
    <row r="47" spans="2:7" x14ac:dyDescent="0.2">
      <c r="C47" s="4">
        <v>2023</v>
      </c>
      <c r="D47" s="32">
        <f>Model!K28</f>
        <v>0.39300000000000002</v>
      </c>
      <c r="E47" s="32">
        <f>Model!L28</f>
        <v>0.38</v>
      </c>
      <c r="F47" s="32">
        <f>Model!M28</f>
        <v>0.36599999999999999</v>
      </c>
      <c r="G47" s="32">
        <f>Model!N28</f>
        <v>0.36099999999999999</v>
      </c>
    </row>
    <row r="48" spans="2:7" x14ac:dyDescent="0.2">
      <c r="C48" s="4">
        <v>2024</v>
      </c>
      <c r="D48" s="32">
        <f>Model!O28</f>
        <v>0.36499999999999999</v>
      </c>
      <c r="E48" s="32">
        <f>Model!P28</f>
        <v>0.35299999999999998</v>
      </c>
      <c r="F48" s="32">
        <f>Model!Q28</f>
        <v>0.34</v>
      </c>
      <c r="G48" s="32">
        <f>Model!R28</f>
        <v>0.34399999999999997</v>
      </c>
    </row>
    <row r="49" spans="3:7" x14ac:dyDescent="0.2">
      <c r="D49" s="32"/>
      <c r="E49" s="32"/>
      <c r="F49" s="32"/>
      <c r="G49" s="32"/>
    </row>
    <row r="50" spans="3:7" x14ac:dyDescent="0.2">
      <c r="C50" s="4">
        <f>C45</f>
        <v>2021</v>
      </c>
      <c r="D50" s="32">
        <f>D45/D64-1</f>
        <v>2.2448979591836782E-2</v>
      </c>
      <c r="E50" s="32">
        <f t="shared" ref="E50:G53" si="19">E45/D45-1</f>
        <v>-3.1936127744511045E-2</v>
      </c>
      <c r="F50" s="32">
        <f t="shared" si="19"/>
        <v>-0.11752577319587632</v>
      </c>
      <c r="G50" s="32">
        <f t="shared" si="19"/>
        <v>-2.8037383177570097E-2</v>
      </c>
    </row>
    <row r="51" spans="3:7" x14ac:dyDescent="0.2">
      <c r="C51" s="4">
        <f>C46</f>
        <v>2022</v>
      </c>
      <c r="D51" s="32">
        <f>D46/G45-1</f>
        <v>7.2115384615385469E-3</v>
      </c>
      <c r="E51" s="32">
        <f t="shared" si="19"/>
        <v>-6.92124105011932E-2</v>
      </c>
      <c r="F51" s="32">
        <f t="shared" si="19"/>
        <v>-4.6153846153846212E-2</v>
      </c>
      <c r="G51" s="32">
        <f t="shared" si="19"/>
        <v>5.3763440860215006E-3</v>
      </c>
    </row>
    <row r="52" spans="3:7" x14ac:dyDescent="0.2">
      <c r="C52" s="4">
        <f>C47</f>
        <v>2023</v>
      </c>
      <c r="D52" s="32">
        <f>D47/G46-1</f>
        <v>5.0802139037433136E-2</v>
      </c>
      <c r="E52" s="32">
        <f t="shared" si="19"/>
        <v>-3.30788804071247E-2</v>
      </c>
      <c r="F52" s="32">
        <f t="shared" si="19"/>
        <v>-3.6842105263157898E-2</v>
      </c>
      <c r="G52" s="32">
        <f t="shared" si="19"/>
        <v>-1.3661202185792365E-2</v>
      </c>
    </row>
    <row r="53" spans="3:7" x14ac:dyDescent="0.2">
      <c r="C53" s="4">
        <f>C48</f>
        <v>2024</v>
      </c>
      <c r="D53" s="32">
        <f>D48/G47-1</f>
        <v>1.1080332409972415E-2</v>
      </c>
      <c r="E53" s="32">
        <f t="shared" si="19"/>
        <v>-3.2876712328767099E-2</v>
      </c>
      <c r="F53" s="32">
        <f t="shared" si="19"/>
        <v>-3.6827195467421969E-2</v>
      </c>
      <c r="G53" s="32">
        <f t="shared" si="19"/>
        <v>1.1764705882352677E-2</v>
      </c>
    </row>
    <row r="55" spans="3:7" x14ac:dyDescent="0.2">
      <c r="C55" s="4" t="s">
        <v>148</v>
      </c>
      <c r="D55" s="32">
        <f>MAX(D50:D52)</f>
        <v>5.0802139037433136E-2</v>
      </c>
      <c r="E55" s="32">
        <f>MAX(E50:E52)</f>
        <v>-3.1936127744511045E-2</v>
      </c>
      <c r="F55" s="32">
        <f>MAX(F50:F52)</f>
        <v>-3.6842105263157898E-2</v>
      </c>
      <c r="G55" s="32">
        <f>MAX(G50:G52)</f>
        <v>5.3763440860215006E-3</v>
      </c>
    </row>
    <row r="56" spans="3:7" x14ac:dyDescent="0.2">
      <c r="C56" s="4" t="s">
        <v>149</v>
      </c>
      <c r="D56" s="32">
        <f>MIN(D50:D52)</f>
        <v>7.2115384615385469E-3</v>
      </c>
      <c r="E56" s="32">
        <f>MIN(E50:E52)</f>
        <v>-6.92124105011932E-2</v>
      </c>
      <c r="F56" s="32">
        <f>MIN(F50:F52)</f>
        <v>-0.11752577319587632</v>
      </c>
      <c r="G56" s="32">
        <f>MIN(G50:G52)</f>
        <v>-2.8037383177570097E-2</v>
      </c>
    </row>
    <row r="57" spans="3:7" x14ac:dyDescent="0.2">
      <c r="C57" s="4" t="s">
        <v>150</v>
      </c>
      <c r="D57" s="32">
        <f>MEDIAN(D50:D52)</f>
        <v>2.2448979591836782E-2</v>
      </c>
      <c r="E57" s="32">
        <f>MEDIAN(E50:E52)</f>
        <v>-3.30788804071247E-2</v>
      </c>
      <c r="F57" s="32">
        <f>MEDIAN(F50:F52)</f>
        <v>-4.6153846153846212E-2</v>
      </c>
      <c r="G57" s="32">
        <f>MEDIAN(G50:G52)</f>
        <v>-1.3661202185792365E-2</v>
      </c>
    </row>
    <row r="58" spans="3:7" x14ac:dyDescent="0.2">
      <c r="C58" s="4">
        <v>2024</v>
      </c>
      <c r="D58" s="32">
        <f>D53</f>
        <v>1.1080332409972415E-2</v>
      </c>
      <c r="E58" s="32">
        <f>E53</f>
        <v>-3.2876712328767099E-2</v>
      </c>
      <c r="F58" s="32">
        <f>F53</f>
        <v>-3.6827195467421969E-2</v>
      </c>
      <c r="G58" s="32">
        <f>G53</f>
        <v>1.1764705882352677E-2</v>
      </c>
    </row>
    <row r="59" spans="3:7" x14ac:dyDescent="0.2">
      <c r="C59" s="4" t="s">
        <v>152</v>
      </c>
      <c r="D59" s="32">
        <f>D55-D60</f>
        <v>4.3590600575894589E-2</v>
      </c>
      <c r="E59" s="32">
        <f>E55-E60</f>
        <v>3.7276282756682155E-2</v>
      </c>
      <c r="F59" s="32">
        <f>F55-F60</f>
        <v>8.0683667932718417E-2</v>
      </c>
      <c r="G59" s="32">
        <f>G55-G60</f>
        <v>3.3413727263591597E-2</v>
      </c>
    </row>
    <row r="60" spans="3:7" x14ac:dyDescent="0.2">
      <c r="C60" s="4" t="s">
        <v>151</v>
      </c>
      <c r="D60" s="32">
        <f>D56</f>
        <v>7.2115384615385469E-3</v>
      </c>
      <c r="E60" s="32">
        <f>E56</f>
        <v>-6.92124105011932E-2</v>
      </c>
      <c r="F60" s="32">
        <f>F56</f>
        <v>-0.11752577319587632</v>
      </c>
      <c r="G60" s="32">
        <f>G56</f>
        <v>-2.8037383177570097E-2</v>
      </c>
    </row>
    <row r="64" spans="3:7" x14ac:dyDescent="0.2">
      <c r="C64" s="4" t="s">
        <v>154</v>
      </c>
      <c r="D64" s="27">
        <v>0.49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6A6BB4-C632-4098-9728-2B404DA517DC}">
  <dimension ref="B2:I83"/>
  <sheetViews>
    <sheetView showGridLines="0" workbookViewId="0"/>
  </sheetViews>
  <sheetFormatPr defaultRowHeight="14.25" x14ac:dyDescent="0.2"/>
  <cols>
    <col min="1" max="1" width="9.140625" style="98"/>
    <col min="2" max="2" width="26.7109375" style="98" customWidth="1"/>
    <col min="3" max="9" width="14.5703125" style="98" bestFit="1" customWidth="1"/>
    <col min="10" max="10" width="10.28515625" style="98" customWidth="1"/>
    <col min="11" max="11" width="11.42578125" style="98" customWidth="1"/>
    <col min="12" max="12" width="9.140625" style="98"/>
    <col min="13" max="13" width="16.5703125" style="98" customWidth="1"/>
    <col min="14" max="16384" width="9.140625" style="98"/>
  </cols>
  <sheetData>
    <row r="2" spans="2:9" ht="15" x14ac:dyDescent="0.25">
      <c r="B2" s="97" t="s">
        <v>216</v>
      </c>
      <c r="C2" s="97"/>
      <c r="D2" s="97"/>
      <c r="E2" s="97"/>
      <c r="F2" s="97"/>
      <c r="G2" s="97"/>
      <c r="H2" s="97"/>
      <c r="I2" s="97"/>
    </row>
    <row r="4" spans="2:9" x14ac:dyDescent="0.2">
      <c r="B4" s="98" t="s">
        <v>252</v>
      </c>
      <c r="C4" s="99">
        <v>45657</v>
      </c>
    </row>
    <row r="5" spans="2:9" x14ac:dyDescent="0.2">
      <c r="B5" s="98" t="s">
        <v>253</v>
      </c>
      <c r="C5" s="100">
        <v>1</v>
      </c>
    </row>
    <row r="6" spans="2:9" x14ac:dyDescent="0.2">
      <c r="B6" s="98" t="s">
        <v>254</v>
      </c>
      <c r="C6" s="99">
        <v>45657</v>
      </c>
    </row>
    <row r="7" spans="2:9" x14ac:dyDescent="0.2">
      <c r="B7" s="98" t="s">
        <v>229</v>
      </c>
      <c r="C7" s="101">
        <v>0.26</v>
      </c>
    </row>
    <row r="8" spans="2:9" x14ac:dyDescent="0.2">
      <c r="B8" s="98" t="s">
        <v>255</v>
      </c>
      <c r="C8" s="102">
        <v>8.5000000000000006E-2</v>
      </c>
    </row>
    <row r="9" spans="2:9" x14ac:dyDescent="0.2">
      <c r="B9" s="98" t="s">
        <v>256</v>
      </c>
      <c r="C9" s="102">
        <v>0.03</v>
      </c>
    </row>
    <row r="12" spans="2:9" ht="15" x14ac:dyDescent="0.25">
      <c r="B12" s="97" t="s">
        <v>257</v>
      </c>
      <c r="C12" s="97"/>
      <c r="D12" s="97"/>
      <c r="E12" s="97"/>
      <c r="F12" s="97"/>
      <c r="G12" s="97"/>
      <c r="H12" s="97"/>
      <c r="I12" s="97"/>
    </row>
    <row r="14" spans="2:9" ht="36.75" customHeight="1" x14ac:dyDescent="0.25">
      <c r="B14" s="103"/>
      <c r="C14" s="104">
        <v>2024</v>
      </c>
      <c r="D14" s="105">
        <f t="shared" ref="D14:H14" si="0">C14+1</f>
        <v>2025</v>
      </c>
      <c r="E14" s="105">
        <f t="shared" si="0"/>
        <v>2026</v>
      </c>
      <c r="F14" s="105">
        <f t="shared" si="0"/>
        <v>2027</v>
      </c>
      <c r="G14" s="105">
        <f t="shared" si="0"/>
        <v>2028</v>
      </c>
      <c r="H14" s="105">
        <f t="shared" si="0"/>
        <v>2029</v>
      </c>
      <c r="I14" s="106" t="s">
        <v>258</v>
      </c>
    </row>
    <row r="15" spans="2:9" x14ac:dyDescent="0.2">
      <c r="C15" s="107"/>
      <c r="I15" s="108"/>
    </row>
    <row r="16" spans="2:9" x14ac:dyDescent="0.2">
      <c r="B16" s="98" t="s">
        <v>259</v>
      </c>
      <c r="C16" s="109">
        <f>Model!AQ38</f>
        <v>11313851</v>
      </c>
      <c r="D16" s="110">
        <f>Model!AR38</f>
        <v>12389140.532803543</v>
      </c>
      <c r="E16" s="110">
        <f>Model!AS38</f>
        <v>13589127.421399092</v>
      </c>
      <c r="F16" s="110">
        <f>Model!AT38</f>
        <v>14850629.949203143</v>
      </c>
      <c r="G16" s="110">
        <f>Model!AU38</f>
        <v>16160846.724500865</v>
      </c>
      <c r="H16" s="110">
        <f>Model!AV38</f>
        <v>17687785.370075684</v>
      </c>
      <c r="I16" s="111">
        <f>H16</f>
        <v>17687785.370075684</v>
      </c>
    </row>
    <row r="17" spans="2:9" x14ac:dyDescent="0.2">
      <c r="B17" s="98" t="s">
        <v>208</v>
      </c>
      <c r="C17" s="112"/>
      <c r="D17" s="113">
        <f t="shared" ref="D17:H17" si="1">D16/C16-1</f>
        <v>9.504186795491143E-2</v>
      </c>
      <c r="E17" s="113">
        <f t="shared" si="1"/>
        <v>9.6857960842260615E-2</v>
      </c>
      <c r="F17" s="114">
        <f t="shared" si="1"/>
        <v>9.2831753554502461E-2</v>
      </c>
      <c r="G17" s="115">
        <f t="shared" si="1"/>
        <v>8.822634324465306E-2</v>
      </c>
      <c r="H17" s="115">
        <f t="shared" si="1"/>
        <v>9.4483826968043916E-2</v>
      </c>
      <c r="I17" s="116"/>
    </row>
    <row r="18" spans="2:9" x14ac:dyDescent="0.2">
      <c r="C18" s="117"/>
      <c r="D18" s="118"/>
      <c r="E18" s="118"/>
      <c r="F18" s="118"/>
      <c r="G18" s="118"/>
      <c r="H18" s="118"/>
      <c r="I18" s="119"/>
    </row>
    <row r="19" spans="2:9" x14ac:dyDescent="0.2">
      <c r="B19" s="98" t="s">
        <v>260</v>
      </c>
      <c r="C19" s="109">
        <f>Model!AQ58</f>
        <v>1916333</v>
      </c>
      <c r="D19" s="110">
        <f>Model!AR58</f>
        <v>1936810.0009371899</v>
      </c>
      <c r="E19" s="110">
        <f>Model!AS58</f>
        <v>2007300.630347671</v>
      </c>
      <c r="F19" s="110">
        <f>Model!AT58</f>
        <v>2222797.7024110984</v>
      </c>
      <c r="G19" s="110">
        <f>Model!AU58</f>
        <v>2503543.5549376849</v>
      </c>
      <c r="H19" s="110">
        <f>Model!AV58</f>
        <v>2822139.3868233953</v>
      </c>
      <c r="I19" s="111">
        <f>H19</f>
        <v>2822139.3868233953</v>
      </c>
    </row>
    <row r="20" spans="2:9" x14ac:dyDescent="0.2">
      <c r="B20" s="98" t="s">
        <v>158</v>
      </c>
      <c r="C20" s="112">
        <f t="shared" ref="C20:H20" si="2">C19/C$16</f>
        <v>0.16937937400801903</v>
      </c>
      <c r="D20" s="113">
        <f t="shared" si="2"/>
        <v>0.15633126412675444</v>
      </c>
      <c r="E20" s="113">
        <f t="shared" si="2"/>
        <v>0.14771372495828772</v>
      </c>
      <c r="F20" s="113">
        <f t="shared" si="2"/>
        <v>0.14967699754247593</v>
      </c>
      <c r="G20" s="113">
        <f t="shared" si="2"/>
        <v>0.1549141327565563</v>
      </c>
      <c r="H20" s="113">
        <f t="shared" si="2"/>
        <v>0.1595530094795197</v>
      </c>
      <c r="I20" s="120">
        <f>I19/I$16</f>
        <v>0.1595530094795197</v>
      </c>
    </row>
    <row r="21" spans="2:9" x14ac:dyDescent="0.2">
      <c r="C21" s="117"/>
      <c r="D21" s="118"/>
      <c r="E21" s="118"/>
      <c r="F21" s="118"/>
      <c r="G21" s="118"/>
      <c r="H21" s="118"/>
      <c r="I21" s="119"/>
    </row>
    <row r="22" spans="2:9" x14ac:dyDescent="0.2">
      <c r="B22" s="98" t="s">
        <v>261</v>
      </c>
      <c r="C22" s="121">
        <f>Model!AQ51</f>
        <v>335030</v>
      </c>
      <c r="D22" s="122">
        <f>Model!AR51</f>
        <v>366871.87702093401</v>
      </c>
      <c r="E22" s="122">
        <f>Model!AS51</f>
        <v>402406.33891955425</v>
      </c>
      <c r="F22" s="122">
        <f>Model!AT51</f>
        <v>439762.42500290385</v>
      </c>
      <c r="G22" s="122">
        <f>Model!AU51</f>
        <v>478561.05565731111</v>
      </c>
      <c r="H22" s="122">
        <f>Model!AV51</f>
        <v>523777.33563368092</v>
      </c>
      <c r="I22" s="123">
        <f>H22</f>
        <v>523777.33563368092</v>
      </c>
    </row>
    <row r="23" spans="2:9" x14ac:dyDescent="0.2">
      <c r="B23" s="98" t="s">
        <v>262</v>
      </c>
      <c r="C23" s="121">
        <f>C19*-$C$7</f>
        <v>-498246.58</v>
      </c>
      <c r="D23" s="122">
        <f>D19*-$C$7</f>
        <v>-503570.60024366941</v>
      </c>
      <c r="E23" s="122">
        <f t="shared" ref="E23:H23" si="3">E19*-$C$7</f>
        <v>-521898.1638903945</v>
      </c>
      <c r="F23" s="122">
        <f t="shared" si="3"/>
        <v>-577927.40262688557</v>
      </c>
      <c r="G23" s="122">
        <f t="shared" si="3"/>
        <v>-650921.32428379811</v>
      </c>
      <c r="H23" s="122">
        <f t="shared" si="3"/>
        <v>-733756.24057408283</v>
      </c>
      <c r="I23" s="123">
        <f>H23</f>
        <v>-733756.24057408283</v>
      </c>
    </row>
    <row r="24" spans="2:9" x14ac:dyDescent="0.2">
      <c r="B24" s="98" t="s">
        <v>263</v>
      </c>
      <c r="C24" s="121">
        <f>Model!AQ217</f>
        <v>-593603</v>
      </c>
      <c r="D24" s="122">
        <f>Model!AR217</f>
        <v>-691905.67650717474</v>
      </c>
      <c r="E24" s="122">
        <f>Model!AS217</f>
        <v>-758922.24942884443</v>
      </c>
      <c r="F24" s="122">
        <f>Model!AT217</f>
        <v>-829374.33265485149</v>
      </c>
      <c r="G24" s="122">
        <f>Model!AU217</f>
        <v>-902546.99720596359</v>
      </c>
      <c r="H24" s="122">
        <f>Model!AV217</f>
        <v>-987823.09152049944</v>
      </c>
      <c r="I24" s="123">
        <f t="shared" ref="I24:I25" si="4">H24</f>
        <v>-987823.09152049944</v>
      </c>
    </row>
    <row r="25" spans="2:9" x14ac:dyDescent="0.2">
      <c r="B25" s="124" t="s">
        <v>264</v>
      </c>
      <c r="C25" s="121">
        <f>Model!AQ213</f>
        <v>75975</v>
      </c>
      <c r="D25" s="122">
        <f>Model!AR213</f>
        <v>42881.596457672073</v>
      </c>
      <c r="E25" s="122">
        <f>Model!AS213</f>
        <v>58015.934329493786</v>
      </c>
      <c r="F25" s="122">
        <f>Model!AT213</f>
        <v>58319.220879645203</v>
      </c>
      <c r="G25" s="122">
        <f>Model!AU213</f>
        <v>59343.468466220656</v>
      </c>
      <c r="H25" s="122">
        <f>Model!AV213</f>
        <v>69651.855219444958</v>
      </c>
      <c r="I25" s="123">
        <f t="shared" si="4"/>
        <v>69651.855219444958</v>
      </c>
    </row>
    <row r="26" spans="2:9" ht="15" x14ac:dyDescent="0.25">
      <c r="B26" s="125" t="s">
        <v>265</v>
      </c>
      <c r="C26" s="126">
        <f t="shared" ref="C26:H26" si="5">C19+SUM(C22:C25)</f>
        <v>1235488.42</v>
      </c>
      <c r="D26" s="127">
        <f t="shared" si="5"/>
        <v>1151087.1976649519</v>
      </c>
      <c r="E26" s="127">
        <f t="shared" si="5"/>
        <v>1186902.4902774801</v>
      </c>
      <c r="F26" s="127">
        <f t="shared" si="5"/>
        <v>1313577.6130119106</v>
      </c>
      <c r="G26" s="127">
        <f t="shared" si="5"/>
        <v>1487979.7575714549</v>
      </c>
      <c r="H26" s="127">
        <f t="shared" si="5"/>
        <v>1693989.2455819389</v>
      </c>
      <c r="I26" s="128">
        <f>I19+SUM(I22:I25)</f>
        <v>1693989.2455819389</v>
      </c>
    </row>
    <row r="27" spans="2:9" ht="15" x14ac:dyDescent="0.25">
      <c r="B27" s="129" t="s">
        <v>266</v>
      </c>
      <c r="C27" s="130">
        <f>C26</f>
        <v>1235488.42</v>
      </c>
      <c r="D27" s="131">
        <f>D26*C5</f>
        <v>1151087.1976649519</v>
      </c>
      <c r="E27" s="131">
        <f>E26</f>
        <v>1186902.4902774801</v>
      </c>
      <c r="F27" s="131">
        <f t="shared" ref="F27:H27" si="6">F26</f>
        <v>1313577.6130119106</v>
      </c>
      <c r="G27" s="131">
        <f t="shared" si="6"/>
        <v>1487979.7575714549</v>
      </c>
      <c r="H27" s="131">
        <f t="shared" si="6"/>
        <v>1693989.2455819389</v>
      </c>
      <c r="I27" s="132">
        <f>I26</f>
        <v>1693989.2455819389</v>
      </c>
    </row>
    <row r="28" spans="2:9" ht="15" x14ac:dyDescent="0.25">
      <c r="B28" s="129"/>
      <c r="C28" s="130"/>
      <c r="D28" s="131"/>
      <c r="E28" s="131"/>
      <c r="F28" s="131"/>
      <c r="G28" s="131"/>
      <c r="H28" s="131"/>
      <c r="I28" s="132"/>
    </row>
    <row r="29" spans="2:9" x14ac:dyDescent="0.2">
      <c r="B29" s="133" t="s">
        <v>267</v>
      </c>
      <c r="C29" s="134"/>
      <c r="D29" s="135">
        <f>C5/2</f>
        <v>0.5</v>
      </c>
      <c r="E29" s="135">
        <f>D29+1</f>
        <v>1.5</v>
      </c>
      <c r="F29" s="135">
        <f>E29+1</f>
        <v>2.5</v>
      </c>
      <c r="G29" s="135">
        <f>F29+1</f>
        <v>3.5</v>
      </c>
      <c r="H29" s="135">
        <f>G29+1</f>
        <v>4.5</v>
      </c>
      <c r="I29" s="136">
        <f>H29</f>
        <v>4.5</v>
      </c>
    </row>
    <row r="30" spans="2:9" x14ac:dyDescent="0.2">
      <c r="B30" s="133" t="s">
        <v>268</v>
      </c>
      <c r="C30" s="137"/>
      <c r="D30" s="135">
        <f t="shared" ref="D30:H30" si="7">1/(1+$D$35)^D29</f>
        <v>0.96003072147463864</v>
      </c>
      <c r="E30" s="135">
        <f t="shared" si="7"/>
        <v>0.88482094145127999</v>
      </c>
      <c r="F30" s="135">
        <f t="shared" si="7"/>
        <v>0.81550317184449761</v>
      </c>
      <c r="G30" s="135">
        <f t="shared" si="7"/>
        <v>0.75161582658479054</v>
      </c>
      <c r="H30" s="135">
        <f t="shared" si="7"/>
        <v>0.6927334807233092</v>
      </c>
      <c r="I30" s="136">
        <f>1/(1+$D$35)^I29</f>
        <v>0.6927334807233092</v>
      </c>
    </row>
    <row r="31" spans="2:9" x14ac:dyDescent="0.2">
      <c r="B31" s="138" t="s">
        <v>269</v>
      </c>
      <c r="C31" s="139"/>
      <c r="D31" s="140">
        <f>D30*D27</f>
        <v>1105079.0728545038</v>
      </c>
      <c r="E31" s="140">
        <f t="shared" ref="E31:I31" si="8">E30*E27</f>
        <v>1050196.1788581887</v>
      </c>
      <c r="F31" s="140">
        <f t="shared" si="8"/>
        <v>1071226.7098751371</v>
      </c>
      <c r="G31" s="140">
        <f t="shared" si="8"/>
        <v>1118389.1354285053</v>
      </c>
      <c r="H31" s="140">
        <f t="shared" si="8"/>
        <v>1173483.0663998292</v>
      </c>
      <c r="I31" s="141">
        <f t="shared" si="8"/>
        <v>1173483.0663998292</v>
      </c>
    </row>
    <row r="34" spans="2:4" ht="15" x14ac:dyDescent="0.25">
      <c r="B34" s="103" t="s">
        <v>270</v>
      </c>
      <c r="C34" s="142"/>
      <c r="D34" s="142"/>
    </row>
    <row r="35" spans="2:4" x14ac:dyDescent="0.2">
      <c r="B35" s="98" t="s">
        <v>271</v>
      </c>
      <c r="D35" s="143">
        <f>C8</f>
        <v>8.5000000000000006E-2</v>
      </c>
    </row>
    <row r="36" spans="2:4" x14ac:dyDescent="0.2">
      <c r="B36" s="98" t="s">
        <v>272</v>
      </c>
      <c r="D36" s="143">
        <f>C9</f>
        <v>0.03</v>
      </c>
    </row>
    <row r="37" spans="2:4" ht="3.75" customHeight="1" x14ac:dyDescent="0.2"/>
    <row r="38" spans="2:4" x14ac:dyDescent="0.2">
      <c r="B38" s="98" t="s">
        <v>273</v>
      </c>
      <c r="D38" s="144">
        <f>I30</f>
        <v>0.6927334807233092</v>
      </c>
    </row>
    <row r="39" spans="2:4" x14ac:dyDescent="0.2">
      <c r="B39" s="98" t="s">
        <v>274</v>
      </c>
      <c r="D39" s="145">
        <f>I26</f>
        <v>1693989.2455819389</v>
      </c>
    </row>
    <row r="40" spans="2:4" ht="15" x14ac:dyDescent="0.25">
      <c r="B40" s="129" t="s">
        <v>275</v>
      </c>
      <c r="C40" s="129"/>
      <c r="D40" s="146">
        <f>(D39*(1+D36)/(D35-D36))</f>
        <v>31723798.59907994</v>
      </c>
    </row>
    <row r="41" spans="2:4" ht="3.75" customHeight="1" x14ac:dyDescent="0.2"/>
    <row r="42" spans="2:4" x14ac:dyDescent="0.2">
      <c r="B42" s="98" t="s">
        <v>276</v>
      </c>
      <c r="D42" s="145">
        <f>SUM(D31:H31)</f>
        <v>5518374.163416164</v>
      </c>
    </row>
    <row r="43" spans="2:4" x14ac:dyDescent="0.2">
      <c r="B43" s="98" t="s">
        <v>277</v>
      </c>
      <c r="D43" s="145">
        <f>D40*D38</f>
        <v>21976137.425305888</v>
      </c>
    </row>
    <row r="44" spans="2:4" ht="15" x14ac:dyDescent="0.25">
      <c r="B44" s="147" t="s">
        <v>278</v>
      </c>
      <c r="C44" s="103"/>
      <c r="D44" s="148">
        <f>SUM(D42:D43)</f>
        <v>27494511.58872205</v>
      </c>
    </row>
    <row r="45" spans="2:4" ht="3.75" customHeight="1" x14ac:dyDescent="0.2"/>
    <row r="46" spans="2:4" x14ac:dyDescent="0.2">
      <c r="B46" s="98" t="s">
        <v>279</v>
      </c>
      <c r="D46" s="145">
        <f>SUM(TSM!L17:L21)</f>
        <v>3514.2449999999999</v>
      </c>
    </row>
    <row r="47" spans="2:4" ht="15" x14ac:dyDescent="0.25">
      <c r="B47" s="147" t="s">
        <v>280</v>
      </c>
      <c r="C47" s="103"/>
      <c r="D47" s="148">
        <f>D44-D46</f>
        <v>27490997.343722049</v>
      </c>
    </row>
    <row r="48" spans="2:4" ht="3.75" customHeight="1" x14ac:dyDescent="0.2"/>
    <row r="49" spans="2:9" x14ac:dyDescent="0.2">
      <c r="B49" s="98" t="s">
        <v>281</v>
      </c>
      <c r="D49" s="145">
        <f>TSM!G20*1000</f>
        <v>1367000.9547211484</v>
      </c>
    </row>
    <row r="50" spans="2:9" ht="15" x14ac:dyDescent="0.25">
      <c r="B50" s="147" t="s">
        <v>282</v>
      </c>
      <c r="C50" s="103"/>
      <c r="D50" s="149">
        <f>D47/D49</f>
        <v>20.110444874802504</v>
      </c>
    </row>
    <row r="51" spans="2:9" ht="3.75" customHeight="1" x14ac:dyDescent="0.25">
      <c r="B51" s="129"/>
      <c r="C51" s="129"/>
      <c r="D51" s="150"/>
    </row>
    <row r="52" spans="2:9" x14ac:dyDescent="0.2">
      <c r="B52" s="98" t="s">
        <v>283</v>
      </c>
      <c r="D52" s="151">
        <f>TSM!C6</f>
        <v>54.33</v>
      </c>
    </row>
    <row r="53" spans="2:9" x14ac:dyDescent="0.2">
      <c r="B53" s="152" t="s">
        <v>284</v>
      </c>
      <c r="C53" s="153"/>
      <c r="D53" s="154">
        <f>D50/D52-1</f>
        <v>-0.62984640392412106</v>
      </c>
    </row>
    <row r="54" spans="2:9" ht="3.75" customHeight="1" x14ac:dyDescent="0.2"/>
    <row r="55" spans="2:9" ht="15" x14ac:dyDescent="0.25">
      <c r="B55" s="155" t="s">
        <v>285</v>
      </c>
      <c r="C55" s="155"/>
      <c r="D55" s="155"/>
    </row>
    <row r="56" spans="2:9" x14ac:dyDescent="0.2">
      <c r="B56" s="98" t="s">
        <v>286</v>
      </c>
      <c r="D56" s="156">
        <f>+D40*(1+D35)^(0.5)</f>
        <v>33044566.06383507</v>
      </c>
    </row>
    <row r="57" spans="2:9" x14ac:dyDescent="0.2">
      <c r="B57" s="98" t="s">
        <v>287</v>
      </c>
      <c r="D57" s="157">
        <f>I19+I22</f>
        <v>3345916.7224570764</v>
      </c>
    </row>
    <row r="58" spans="2:9" x14ac:dyDescent="0.2">
      <c r="B58" s="98" t="s">
        <v>288</v>
      </c>
      <c r="D58" s="158">
        <f>D56/D57</f>
        <v>9.8760874238282792</v>
      </c>
    </row>
    <row r="61" spans="2:9" ht="15" x14ac:dyDescent="0.25">
      <c r="B61" s="97" t="s">
        <v>289</v>
      </c>
      <c r="C61" s="97"/>
      <c r="D61" s="97"/>
      <c r="E61" s="97"/>
      <c r="F61" s="97"/>
      <c r="G61" s="97"/>
      <c r="H61" s="97"/>
      <c r="I61" s="97"/>
    </row>
    <row r="64" spans="2:9" ht="15" x14ac:dyDescent="0.25">
      <c r="B64" s="103" t="s">
        <v>290</v>
      </c>
      <c r="C64" s="142"/>
      <c r="D64" s="142"/>
      <c r="E64" s="142"/>
      <c r="F64" s="142"/>
      <c r="G64" s="142"/>
      <c r="H64" s="142"/>
    </row>
    <row r="66" spans="2:9" x14ac:dyDescent="0.2">
      <c r="B66" s="159" t="s">
        <v>291</v>
      </c>
      <c r="C66" s="124"/>
      <c r="D66" s="124"/>
      <c r="E66" s="124"/>
      <c r="F66" s="124"/>
      <c r="G66" s="124"/>
      <c r="H66" s="124"/>
    </row>
    <row r="67" spans="2:9" ht="15" x14ac:dyDescent="0.25">
      <c r="B67" s="160"/>
      <c r="C67" s="161"/>
      <c r="D67" s="162" t="s">
        <v>272</v>
      </c>
      <c r="E67" s="162"/>
      <c r="F67" s="162"/>
      <c r="G67" s="162"/>
      <c r="H67" s="162"/>
    </row>
    <row r="68" spans="2:9" ht="15" x14ac:dyDescent="0.25">
      <c r="B68" s="163"/>
      <c r="C68" s="164">
        <f>D50</f>
        <v>20.110444874802504</v>
      </c>
      <c r="D68" s="165">
        <f>E68-0.25%</f>
        <v>2.5000000000000001E-2</v>
      </c>
      <c r="E68" s="165">
        <f>F68-0.25%</f>
        <v>2.75E-2</v>
      </c>
      <c r="F68" s="166">
        <v>0.03</v>
      </c>
      <c r="G68" s="165">
        <f>F68+0.25%</f>
        <v>3.2500000000000001E-2</v>
      </c>
      <c r="H68" s="165">
        <f>G68+0.25%</f>
        <v>3.5000000000000003E-2</v>
      </c>
      <c r="I68" s="167"/>
    </row>
    <row r="69" spans="2:9" ht="15" x14ac:dyDescent="0.25">
      <c r="B69" s="168"/>
      <c r="C69" s="169">
        <f>C70-0.25%</f>
        <v>0.08</v>
      </c>
      <c r="D69" s="170">
        <f t="dataTable" ref="D69:H73" dt2D="1" dtr="1" r1="C9" r2="C8"/>
        <v>20.416085230483915</v>
      </c>
      <c r="E69" s="170">
        <v>21.235637585401715</v>
      </c>
      <c r="F69" s="170">
        <v>22.137145175811298</v>
      </c>
      <c r="G69" s="170">
        <v>23.13354830205347</v>
      </c>
      <c r="H69" s="170">
        <v>24.240662886766994</v>
      </c>
    </row>
    <row r="70" spans="2:9" ht="15" x14ac:dyDescent="0.25">
      <c r="B70" s="171" t="s">
        <v>292</v>
      </c>
      <c r="C70" s="169">
        <f>C71-0.25%</f>
        <v>8.2500000000000004E-2</v>
      </c>
      <c r="D70" s="172">
        <v>19.52022975214804</v>
      </c>
      <c r="E70" s="172">
        <v>20.262485617100541</v>
      </c>
      <c r="F70" s="172">
        <v>21.075432516810423</v>
      </c>
      <c r="G70" s="172">
        <v>21.969674106491293</v>
      </c>
      <c r="H70" s="172">
        <v>22.95804638982278</v>
      </c>
    </row>
    <row r="71" spans="2:9" ht="15" x14ac:dyDescent="0.25">
      <c r="B71" s="171" t="s">
        <v>293</v>
      </c>
      <c r="C71" s="169">
        <v>8.5000000000000006E-2</v>
      </c>
      <c r="D71" s="172">
        <v>18.699227834819535</v>
      </c>
      <c r="E71" s="172">
        <v>19.374157723507039</v>
      </c>
      <c r="F71" s="172">
        <v>20.110444874802504</v>
      </c>
      <c r="G71" s="172">
        <v>20.916854611935634</v>
      </c>
      <c r="H71" s="172">
        <v>21.803905322782075</v>
      </c>
    </row>
    <row r="72" spans="2:9" ht="15" x14ac:dyDescent="0.25">
      <c r="B72" s="168"/>
      <c r="C72" s="169">
        <f>C71+0.25%</f>
        <v>8.7500000000000008E-2</v>
      </c>
      <c r="D72" s="172">
        <v>17.944094711207345</v>
      </c>
      <c r="E72" s="172">
        <v>18.560048515979638</v>
      </c>
      <c r="F72" s="172">
        <v>19.229563521166906</v>
      </c>
      <c r="G72" s="172">
        <v>19.959943526825747</v>
      </c>
      <c r="H72" s="172">
        <v>20.759883533023533</v>
      </c>
    </row>
    <row r="73" spans="2:9" ht="15" x14ac:dyDescent="0.25">
      <c r="B73" s="168"/>
      <c r="C73" s="169">
        <f>C72+0.25%</f>
        <v>9.0000000000000011E-2</v>
      </c>
      <c r="D73" s="172">
        <v>17.247227917771955</v>
      </c>
      <c r="E73" s="172">
        <v>17.81124950042652</v>
      </c>
      <c r="F73" s="172">
        <v>18.422272881635639</v>
      </c>
      <c r="G73" s="172">
        <v>19.086428730775982</v>
      </c>
      <c r="H73" s="172">
        <v>19.810962384383632</v>
      </c>
    </row>
    <row r="76" spans="2:9" x14ac:dyDescent="0.2">
      <c r="B76" s="159" t="s">
        <v>294</v>
      </c>
      <c r="C76" s="124"/>
      <c r="D76" s="124"/>
      <c r="E76" s="124"/>
      <c r="F76" s="124"/>
      <c r="G76" s="124"/>
      <c r="H76" s="124"/>
    </row>
    <row r="77" spans="2:9" ht="15" x14ac:dyDescent="0.25">
      <c r="B77" s="160"/>
      <c r="C77" s="161"/>
      <c r="D77" s="162" t="s">
        <v>272</v>
      </c>
      <c r="E77" s="162"/>
      <c r="F77" s="162"/>
      <c r="G77" s="162"/>
      <c r="H77" s="162"/>
    </row>
    <row r="78" spans="2:9" ht="15" x14ac:dyDescent="0.25">
      <c r="B78" s="163"/>
      <c r="C78" s="173"/>
      <c r="D78" s="165">
        <f>E78-0.25%</f>
        <v>2.5000000000000001E-2</v>
      </c>
      <c r="E78" s="165">
        <f>F78-0.25%</f>
        <v>2.75E-2</v>
      </c>
      <c r="F78" s="166">
        <v>0.03</v>
      </c>
      <c r="G78" s="165">
        <f>F78+0.25%</f>
        <v>3.2500000000000001E-2</v>
      </c>
      <c r="H78" s="165">
        <f>G78+0.25%</f>
        <v>3.5000000000000003E-2</v>
      </c>
    </row>
    <row r="79" spans="2:9" ht="15" x14ac:dyDescent="0.25">
      <c r="B79" s="168"/>
      <c r="C79" s="169">
        <f>C80-0.25%</f>
        <v>0.08</v>
      </c>
      <c r="D79" s="174">
        <f>D69/$D$52-1</f>
        <v>-0.62422077617368088</v>
      </c>
      <c r="E79" s="174">
        <f t="shared" ref="E79:H79" si="9">E69/$D$52-1</f>
        <v>-0.60913606505794737</v>
      </c>
      <c r="F79" s="174">
        <f t="shared" si="9"/>
        <v>-0.59254288283064049</v>
      </c>
      <c r="G79" s="174">
        <f t="shared" si="9"/>
        <v>-0.57420304984256454</v>
      </c>
      <c r="H79" s="174">
        <f t="shared" si="9"/>
        <v>-0.55382545763359103</v>
      </c>
    </row>
    <row r="80" spans="2:9" ht="15" x14ac:dyDescent="0.25">
      <c r="B80" s="171" t="s">
        <v>292</v>
      </c>
      <c r="C80" s="169">
        <f>C81-0.25%</f>
        <v>8.2500000000000004E-2</v>
      </c>
      <c r="D80" s="174">
        <f t="shared" ref="D80:H80" si="10">D70/$D$52-1</f>
        <v>-0.64070992541601246</v>
      </c>
      <c r="E80" s="174">
        <f t="shared" si="10"/>
        <v>-0.62704793636847889</v>
      </c>
      <c r="F80" s="174">
        <f t="shared" si="10"/>
        <v>-0.61208480550689448</v>
      </c>
      <c r="G80" s="174">
        <f t="shared" si="10"/>
        <v>-0.59562536155915158</v>
      </c>
      <c r="H80" s="174">
        <f t="shared" si="10"/>
        <v>-0.57743334456427786</v>
      </c>
    </row>
    <row r="81" spans="2:8" ht="15" x14ac:dyDescent="0.25">
      <c r="B81" s="171" t="s">
        <v>293</v>
      </c>
      <c r="C81" s="169">
        <v>8.5000000000000006E-2</v>
      </c>
      <c r="D81" s="174">
        <f t="shared" ref="D81:H81" si="11">D71/$D$52-1</f>
        <v>-0.65582131723137249</v>
      </c>
      <c r="E81" s="174">
        <f t="shared" si="11"/>
        <v>-0.64339853260616531</v>
      </c>
      <c r="F81" s="174">
        <f t="shared" si="11"/>
        <v>-0.62984640392412106</v>
      </c>
      <c r="G81" s="174">
        <f t="shared" si="11"/>
        <v>-0.61500359631997736</v>
      </c>
      <c r="H81" s="174">
        <f t="shared" si="11"/>
        <v>-0.59867650795541916</v>
      </c>
    </row>
    <row r="82" spans="2:8" ht="15" x14ac:dyDescent="0.25">
      <c r="B82" s="168"/>
      <c r="C82" s="169">
        <f>C81+0.25%</f>
        <v>8.7500000000000008E-2</v>
      </c>
      <c r="D82" s="174">
        <f t="shared" ref="D82:H82" si="12">D72/$D$52-1</f>
        <v>-0.66972032558057526</v>
      </c>
      <c r="E82" s="174">
        <f t="shared" si="12"/>
        <v>-0.65838305694865373</v>
      </c>
      <c r="F82" s="174">
        <f t="shared" si="12"/>
        <v>-0.64605993887047841</v>
      </c>
      <c r="G82" s="174">
        <f t="shared" si="12"/>
        <v>-0.63261653733065071</v>
      </c>
      <c r="H82" s="174">
        <f t="shared" si="12"/>
        <v>-0.61789281183464873</v>
      </c>
    </row>
    <row r="83" spans="2:8" ht="15" x14ac:dyDescent="0.25">
      <c r="B83" s="168"/>
      <c r="C83" s="169">
        <f>C82+0.25%</f>
        <v>9.0000000000000011E-2</v>
      </c>
      <c r="D83" s="174">
        <f t="shared" ref="D83:H83" si="13">D73/$D$52-1</f>
        <v>-0.6825468816901904</v>
      </c>
      <c r="E83" s="174">
        <f t="shared" si="13"/>
        <v>-0.67216547946941807</v>
      </c>
      <c r="F83" s="174">
        <f t="shared" si="13"/>
        <v>-0.66091896039691445</v>
      </c>
      <c r="G83" s="174">
        <f t="shared" si="13"/>
        <v>-0.6486944831441932</v>
      </c>
      <c r="H83" s="174">
        <f t="shared" si="13"/>
        <v>-0.63535868977758825</v>
      </c>
    </row>
  </sheetData>
  <conditionalFormatting sqref="D53">
    <cfRule type="cellIs" dxfId="0" priority="1" operator="lessThan">
      <formula>0</formula>
    </cfRule>
  </conditionalFormatting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8AFEF-D688-4BB3-9F90-650CDDFAE17D}">
  <dimension ref="B2:J29"/>
  <sheetViews>
    <sheetView showGridLines="0" workbookViewId="0"/>
  </sheetViews>
  <sheetFormatPr defaultRowHeight="12.75" x14ac:dyDescent="0.2"/>
  <cols>
    <col min="1" max="6" width="9.140625" style="217"/>
    <col min="7" max="7" width="12.28515625" style="217" customWidth="1"/>
    <col min="8" max="16384" width="9.140625" style="217"/>
  </cols>
  <sheetData>
    <row r="2" spans="2:8" x14ac:dyDescent="0.2">
      <c r="B2" s="266" t="s">
        <v>370</v>
      </c>
    </row>
    <row r="4" spans="2:8" x14ac:dyDescent="0.2">
      <c r="B4" s="234" t="s">
        <v>370</v>
      </c>
      <c r="C4" s="267"/>
      <c r="D4" s="267"/>
      <c r="E4" s="267"/>
      <c r="F4" s="267"/>
      <c r="G4" s="267"/>
      <c r="H4" s="267"/>
    </row>
    <row r="5" spans="2:8" ht="25.5" x14ac:dyDescent="0.2">
      <c r="B5" s="268"/>
      <c r="C5" s="268"/>
      <c r="D5" s="268"/>
      <c r="E5" s="268"/>
      <c r="F5" s="268"/>
      <c r="G5" s="269" t="s">
        <v>371</v>
      </c>
      <c r="H5" s="270"/>
    </row>
    <row r="6" spans="2:8" x14ac:dyDescent="0.2">
      <c r="B6" s="271"/>
      <c r="C6" s="271"/>
      <c r="D6" s="271"/>
      <c r="E6" s="271"/>
      <c r="F6" s="271"/>
      <c r="G6" s="272" t="s">
        <v>149</v>
      </c>
      <c r="H6" s="272" t="s">
        <v>148</v>
      </c>
    </row>
    <row r="7" spans="2:8" x14ac:dyDescent="0.2">
      <c r="B7" s="273" t="s">
        <v>372</v>
      </c>
      <c r="C7" s="274"/>
      <c r="D7" s="274"/>
      <c r="E7" s="274"/>
      <c r="F7" s="274"/>
      <c r="G7" s="275">
        <v>0.04</v>
      </c>
      <c r="H7" s="275">
        <v>0.05</v>
      </c>
    </row>
    <row r="8" spans="2:8" x14ac:dyDescent="0.2">
      <c r="B8" s="274"/>
      <c r="C8" s="274" t="s">
        <v>185</v>
      </c>
      <c r="D8" s="274"/>
      <c r="E8" s="274"/>
      <c r="F8" s="274"/>
      <c r="G8" s="274"/>
      <c r="H8" s="274"/>
    </row>
    <row r="9" spans="2:8" x14ac:dyDescent="0.2">
      <c r="B9" s="273" t="s">
        <v>373</v>
      </c>
      <c r="C9" s="274"/>
      <c r="D9" s="274"/>
      <c r="E9" s="274"/>
      <c r="F9" s="274"/>
      <c r="G9" s="276">
        <f>'Beta Determination'!K26</f>
        <v>1.1000000000000001</v>
      </c>
      <c r="H9" s="276">
        <f>G9</f>
        <v>1.1000000000000001</v>
      </c>
    </row>
    <row r="10" spans="2:8" x14ac:dyDescent="0.2">
      <c r="B10" s="277" t="s">
        <v>374</v>
      </c>
      <c r="C10" s="274"/>
      <c r="D10" s="274"/>
      <c r="E10" s="274"/>
      <c r="F10" s="274"/>
      <c r="G10" s="276">
        <f>'Beta Determination'!K24</f>
        <v>0.91668603741177468</v>
      </c>
      <c r="H10" s="276">
        <f>G10</f>
        <v>0.91668603741177468</v>
      </c>
    </row>
    <row r="11" spans="2:8" x14ac:dyDescent="0.2">
      <c r="B11" s="274" t="s">
        <v>375</v>
      </c>
      <c r="C11" s="274"/>
      <c r="D11" s="274"/>
      <c r="E11" s="274"/>
      <c r="F11" s="274"/>
      <c r="G11" s="275">
        <f>G7*G9</f>
        <v>4.4000000000000004E-2</v>
      </c>
      <c r="H11" s="275">
        <f>H7*H9</f>
        <v>5.5000000000000007E-2</v>
      </c>
    </row>
    <row r="12" spans="2:8" x14ac:dyDescent="0.2">
      <c r="B12" s="278" t="s">
        <v>376</v>
      </c>
      <c r="C12" s="274"/>
      <c r="D12" s="274"/>
      <c r="E12" s="274"/>
      <c r="F12" s="274"/>
      <c r="G12" s="279">
        <v>4.5900000000000003E-2</v>
      </c>
      <c r="H12" s="279">
        <f>G12</f>
        <v>4.5900000000000003E-2</v>
      </c>
    </row>
    <row r="13" spans="2:8" x14ac:dyDescent="0.2">
      <c r="B13" s="273" t="s">
        <v>377</v>
      </c>
      <c r="C13" s="273"/>
      <c r="D13" s="273"/>
      <c r="E13" s="273"/>
      <c r="F13" s="273"/>
      <c r="G13" s="280">
        <f>SUM(G11:G12)</f>
        <v>8.9900000000000008E-2</v>
      </c>
      <c r="H13" s="280">
        <f>SUM(H11:H12)</f>
        <v>0.10090000000000002</v>
      </c>
    </row>
    <row r="14" spans="2:8" x14ac:dyDescent="0.2">
      <c r="B14" s="278" t="s">
        <v>378</v>
      </c>
      <c r="C14" s="274"/>
      <c r="D14" s="274"/>
      <c r="E14" s="274"/>
      <c r="F14" s="274"/>
      <c r="G14" s="275">
        <f>1-G29</f>
        <v>0.78949475751302467</v>
      </c>
      <c r="H14" s="275">
        <f>1-H29</f>
        <v>0.78949475751302467</v>
      </c>
    </row>
    <row r="15" spans="2:8" x14ac:dyDescent="0.2">
      <c r="B15" s="273" t="s">
        <v>379</v>
      </c>
      <c r="C15" s="273"/>
      <c r="D15" s="273"/>
      <c r="E15" s="273"/>
      <c r="F15" s="273"/>
      <c r="G15" s="280">
        <f>G13*G14</f>
        <v>7.0975578700420927E-2</v>
      </c>
      <c r="H15" s="280">
        <f>H13*H14</f>
        <v>7.9660021033064202E-2</v>
      </c>
    </row>
    <row r="16" spans="2:8" x14ac:dyDescent="0.2">
      <c r="B16" s="274"/>
      <c r="C16" s="274"/>
      <c r="D16" s="274"/>
      <c r="E16" s="274"/>
      <c r="F16" s="274"/>
      <c r="G16" s="274"/>
      <c r="H16" s="274"/>
    </row>
    <row r="17" spans="2:10" x14ac:dyDescent="0.2">
      <c r="B17" s="273" t="s">
        <v>380</v>
      </c>
      <c r="C17" s="273"/>
      <c r="D17" s="273"/>
      <c r="E17" s="273"/>
      <c r="F17" s="273"/>
      <c r="G17" s="281">
        <f>4.34%+1.475%</f>
        <v>5.815E-2</v>
      </c>
      <c r="H17" s="281">
        <f>G17</f>
        <v>5.815E-2</v>
      </c>
    </row>
    <row r="18" spans="2:10" x14ac:dyDescent="0.2">
      <c r="B18" s="274" t="s">
        <v>381</v>
      </c>
      <c r="C18" s="274"/>
      <c r="D18" s="274"/>
      <c r="E18" s="274"/>
      <c r="F18" s="274"/>
      <c r="G18" s="275">
        <v>0.25</v>
      </c>
      <c r="H18" s="275">
        <f>G18</f>
        <v>0.25</v>
      </c>
    </row>
    <row r="19" spans="2:10" x14ac:dyDescent="0.2">
      <c r="B19" s="274" t="s">
        <v>382</v>
      </c>
      <c r="C19" s="274"/>
      <c r="D19" s="274"/>
      <c r="E19" s="274"/>
      <c r="F19" s="274"/>
      <c r="G19" s="279">
        <f>G17*(1-G18)</f>
        <v>4.3612499999999998E-2</v>
      </c>
      <c r="H19" s="279">
        <f>H17*(1-H18)</f>
        <v>4.3612499999999998E-2</v>
      </c>
    </row>
    <row r="20" spans="2:10" x14ac:dyDescent="0.2">
      <c r="B20" s="278" t="s">
        <v>383</v>
      </c>
      <c r="C20" s="274"/>
      <c r="D20" s="274"/>
      <c r="E20" s="274"/>
      <c r="F20" s="274"/>
      <c r="G20" s="275">
        <f>1-G14</f>
        <v>0.21050524248697533</v>
      </c>
      <c r="H20" s="275">
        <f>1-H14</f>
        <v>0.21050524248697533</v>
      </c>
    </row>
    <row r="21" spans="2:10" x14ac:dyDescent="0.2">
      <c r="B21" s="273" t="s">
        <v>384</v>
      </c>
      <c r="C21" s="273"/>
      <c r="D21" s="273"/>
      <c r="E21" s="273"/>
      <c r="F21" s="273"/>
      <c r="G21" s="280">
        <f>G19*G20</f>
        <v>9.1806598879632106E-3</v>
      </c>
      <c r="H21" s="280">
        <f>H19*H20</f>
        <v>9.1806598879632106E-3</v>
      </c>
    </row>
    <row r="22" spans="2:10" x14ac:dyDescent="0.2">
      <c r="B22" s="273"/>
      <c r="C22" s="273"/>
      <c r="D22" s="273"/>
      <c r="E22" s="273"/>
      <c r="F22" s="273"/>
      <c r="G22" s="281"/>
      <c r="H22" s="281"/>
    </row>
    <row r="23" spans="2:10" x14ac:dyDescent="0.2">
      <c r="B23" s="282" t="s">
        <v>385</v>
      </c>
      <c r="C23" s="283"/>
      <c r="D23" s="283"/>
      <c r="E23" s="283"/>
      <c r="F23" s="283"/>
      <c r="G23" s="284">
        <f>G21+G15</f>
        <v>8.0156238588384138E-2</v>
      </c>
      <c r="H23" s="285">
        <f>H21+H15</f>
        <v>8.8840680921027412E-2</v>
      </c>
      <c r="J23" s="286"/>
    </row>
    <row r="25" spans="2:10" x14ac:dyDescent="0.2">
      <c r="B25" s="266" t="s">
        <v>386</v>
      </c>
      <c r="G25" s="287">
        <f>AVERAGE(G23:H23)</f>
        <v>8.4498459754705768E-2</v>
      </c>
    </row>
    <row r="26" spans="2:10" x14ac:dyDescent="0.2">
      <c r="G26" s="286"/>
    </row>
    <row r="27" spans="2:10" x14ac:dyDescent="0.2">
      <c r="B27" s="224" t="s">
        <v>387</v>
      </c>
      <c r="C27" s="224"/>
      <c r="D27" s="224"/>
      <c r="E27" s="224"/>
      <c r="F27" s="224"/>
      <c r="G27" s="224"/>
      <c r="H27" s="224"/>
    </row>
    <row r="28" spans="2:10" x14ac:dyDescent="0.2">
      <c r="B28" s="217" t="s">
        <v>388</v>
      </c>
      <c r="G28" s="238">
        <f>H28</f>
        <v>0.26663285662603353</v>
      </c>
      <c r="H28" s="238">
        <f>'Beta Determination'!K25</f>
        <v>0.26663285662603353</v>
      </c>
    </row>
    <row r="29" spans="2:10" x14ac:dyDescent="0.2">
      <c r="B29" s="217" t="s">
        <v>389</v>
      </c>
      <c r="G29" s="238">
        <f>G28/(1+G28)</f>
        <v>0.21050524248697539</v>
      </c>
      <c r="H29" s="238">
        <f>H28/(1+H28)</f>
        <v>0.21050524248697539</v>
      </c>
    </row>
  </sheetData>
  <pageMargins left="0.7" right="0.7" top="0.75" bottom="0.75" header="0.3" footer="0.3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6C465-6B2D-4048-B81C-AB24CE416575}">
  <dimension ref="A3:M27"/>
  <sheetViews>
    <sheetView showGridLines="0" workbookViewId="0"/>
  </sheetViews>
  <sheetFormatPr defaultRowHeight="12.75" outlineLevelRow="2" x14ac:dyDescent="0.2"/>
  <cols>
    <col min="1" max="6" width="9.140625" style="217"/>
    <col min="7" max="7" width="15.140625" style="217" customWidth="1"/>
    <col min="8" max="8" width="13.140625" style="217" customWidth="1"/>
    <col min="9" max="10" width="11.140625" style="217" customWidth="1"/>
    <col min="11" max="16384" width="9.140625" style="217"/>
  </cols>
  <sheetData>
    <row r="3" spans="1:13" x14ac:dyDescent="0.2">
      <c r="A3" s="214" t="s">
        <v>391</v>
      </c>
      <c r="B3" s="215"/>
      <c r="C3" s="215"/>
      <c r="D3" s="216">
        <v>0.25</v>
      </c>
    </row>
    <row r="6" spans="1:13" x14ac:dyDescent="0.2">
      <c r="C6" s="218"/>
      <c r="D6" s="218"/>
      <c r="E6" s="218"/>
      <c r="F6" s="219"/>
      <c r="G6" s="219"/>
      <c r="H6" s="219"/>
      <c r="I6" s="219"/>
      <c r="J6" s="219"/>
      <c r="K6" s="219"/>
    </row>
    <row r="7" spans="1:13" ht="38.25" x14ac:dyDescent="0.2">
      <c r="C7" s="218"/>
      <c r="D7" s="218"/>
      <c r="E7" s="218"/>
      <c r="F7" s="220"/>
      <c r="G7" s="221" t="s">
        <v>359</v>
      </c>
      <c r="H7" s="221" t="s">
        <v>360</v>
      </c>
      <c r="I7" s="220" t="s">
        <v>361</v>
      </c>
      <c r="J7" s="220"/>
      <c r="K7" s="220"/>
    </row>
    <row r="8" spans="1:13" x14ac:dyDescent="0.2">
      <c r="C8" s="222" t="s">
        <v>362</v>
      </c>
      <c r="D8" s="222"/>
      <c r="E8" s="222"/>
      <c r="F8" s="223" t="s">
        <v>363</v>
      </c>
      <c r="G8" s="223"/>
      <c r="H8" s="223"/>
      <c r="I8" s="223" t="s">
        <v>364</v>
      </c>
      <c r="J8" s="223" t="s">
        <v>365</v>
      </c>
      <c r="K8" s="223" t="s">
        <v>363</v>
      </c>
      <c r="M8" s="224" t="s">
        <v>339</v>
      </c>
    </row>
    <row r="9" spans="1:13" ht="13.5" thickBot="1" x14ac:dyDescent="0.25"/>
    <row r="10" spans="1:13" ht="13.5" outlineLevel="1" thickBot="1" x14ac:dyDescent="0.25">
      <c r="C10" s="225" t="s">
        <v>352</v>
      </c>
      <c r="D10" s="226"/>
      <c r="E10" s="226"/>
      <c r="F10" s="227">
        <v>1.27</v>
      </c>
      <c r="G10" s="228">
        <f>ROIC!F4</f>
        <v>74269.161869999996</v>
      </c>
      <c r="H10" s="228">
        <f>TSM!L17</f>
        <v>4262.7820000000002</v>
      </c>
      <c r="I10" s="229">
        <f>H10/G10</f>
        <v>5.7396392966727314E-2</v>
      </c>
      <c r="J10" s="229">
        <f>H10/(H10+G10)</f>
        <v>5.4280866994156067E-2</v>
      </c>
      <c r="K10" s="230">
        <f>F10/(1+($I10*(1-($M10))))</f>
        <v>1.2175862076654738</v>
      </c>
      <c r="M10" s="231">
        <v>0.25</v>
      </c>
    </row>
    <row r="11" spans="1:13" outlineLevel="1" x14ac:dyDescent="0.2">
      <c r="F11" s="232"/>
      <c r="G11" s="233"/>
      <c r="H11" s="233"/>
      <c r="M11" s="231"/>
    </row>
    <row r="12" spans="1:13" outlineLevel="1" x14ac:dyDescent="0.2">
      <c r="C12" s="234" t="s">
        <v>390</v>
      </c>
      <c r="D12" s="234"/>
      <c r="E12" s="234"/>
      <c r="F12" s="235"/>
      <c r="G12" s="236"/>
      <c r="H12" s="236"/>
      <c r="I12" s="234"/>
      <c r="J12" s="234"/>
      <c r="K12" s="234"/>
      <c r="M12" s="231"/>
    </row>
    <row r="13" spans="1:13" outlineLevel="1" x14ac:dyDescent="0.2">
      <c r="C13" s="217" t="s">
        <v>342</v>
      </c>
      <c r="F13" s="237">
        <v>1.1000000000000001</v>
      </c>
      <c r="G13" s="233">
        <f>ROIC!F6</f>
        <v>42504.139000000003</v>
      </c>
      <c r="H13" s="233">
        <f>11306+27</f>
        <v>11333</v>
      </c>
      <c r="I13" s="238">
        <f t="shared" ref="I13:I18" si="0">H13/G13</f>
        <v>0.26663285662603353</v>
      </c>
      <c r="J13" s="238">
        <f>H13/(H13+G13)</f>
        <v>0.21050524248697539</v>
      </c>
      <c r="K13" s="232">
        <f>F13/(1+($I13*(1-($M13))))</f>
        <v>0.91668603741177468</v>
      </c>
      <c r="M13" s="231">
        <v>0.25</v>
      </c>
    </row>
    <row r="14" spans="1:13" outlineLevel="1" x14ac:dyDescent="0.2">
      <c r="C14" s="217" t="s">
        <v>343</v>
      </c>
      <c r="F14" s="237">
        <v>0.99</v>
      </c>
      <c r="G14" s="233">
        <f>ROIC!F7</f>
        <v>128272.79999999999</v>
      </c>
      <c r="H14" s="233">
        <f>14312.2+8856.8+1453.3+1249.2</f>
        <v>25871.5</v>
      </c>
      <c r="I14" s="238">
        <f t="shared" si="0"/>
        <v>0.20169123929624988</v>
      </c>
      <c r="J14" s="238">
        <f t="shared" ref="J14:J18" si="1">H14/(H14+G14)</f>
        <v>0.1678394854691351</v>
      </c>
      <c r="K14" s="232">
        <f t="shared" ref="K14:K18" si="2">F14/(1+($I14*(1-($M14))))</f>
        <v>0.85992108760758534</v>
      </c>
      <c r="M14" s="231">
        <f>M13</f>
        <v>0.25</v>
      </c>
    </row>
    <row r="15" spans="1:13" outlineLevel="1" x14ac:dyDescent="0.2">
      <c r="C15" s="217" t="s">
        <v>345</v>
      </c>
      <c r="F15" s="237">
        <v>0.74</v>
      </c>
      <c r="G15" s="233">
        <f>ROIC!F8</f>
        <v>218762.58739999999</v>
      </c>
      <c r="H15" s="233">
        <f>38424+12888</f>
        <v>51312</v>
      </c>
      <c r="I15" s="238">
        <f t="shared" si="0"/>
        <v>0.23455564596234066</v>
      </c>
      <c r="J15" s="238">
        <f t="shared" si="1"/>
        <v>0.1899919592360729</v>
      </c>
      <c r="K15" s="232">
        <f t="shared" si="2"/>
        <v>0.62929625738545369</v>
      </c>
      <c r="M15" s="231">
        <f t="shared" ref="M15:M18" si="3">M14</f>
        <v>0.25</v>
      </c>
    </row>
    <row r="16" spans="1:13" outlineLevel="1" x14ac:dyDescent="0.2">
      <c r="C16" s="217" t="s">
        <v>347</v>
      </c>
      <c r="F16" s="237">
        <v>1.31</v>
      </c>
      <c r="G16" s="233">
        <f>ROIC!F9</f>
        <v>22811.448</v>
      </c>
      <c r="H16" s="233">
        <f>2121.7+3939.1+275.2</f>
        <v>6335.9999999999991</v>
      </c>
      <c r="I16" s="238">
        <f t="shared" si="0"/>
        <v>0.27775527445693055</v>
      </c>
      <c r="J16" s="238">
        <f t="shared" si="1"/>
        <v>0.21737752135281274</v>
      </c>
      <c r="K16" s="232">
        <f t="shared" si="2"/>
        <v>1.0841530740276035</v>
      </c>
      <c r="M16" s="231">
        <f t="shared" si="3"/>
        <v>0.25</v>
      </c>
    </row>
    <row r="17" spans="3:13" outlineLevel="1" x14ac:dyDescent="0.2">
      <c r="C17" s="217" t="s">
        <v>349</v>
      </c>
      <c r="F17" s="237">
        <v>0.91</v>
      </c>
      <c r="G17" s="233">
        <f>ROIC!F10</f>
        <v>16549.063999999998</v>
      </c>
      <c r="H17" s="233">
        <f>1149.679+39.92+3825.659+181.983</f>
        <v>5197.241</v>
      </c>
      <c r="I17" s="238">
        <f t="shared" si="0"/>
        <v>0.31405045022485867</v>
      </c>
      <c r="J17" s="238">
        <f t="shared" si="1"/>
        <v>0.23899421074062926</v>
      </c>
      <c r="K17" s="232">
        <f t="shared" si="2"/>
        <v>0.73652135309517786</v>
      </c>
      <c r="M17" s="231">
        <f t="shared" si="3"/>
        <v>0.25</v>
      </c>
    </row>
    <row r="18" spans="3:13" outlineLevel="1" x14ac:dyDescent="0.2">
      <c r="C18" s="217" t="s">
        <v>351</v>
      </c>
      <c r="F18" s="237">
        <v>1.52</v>
      </c>
      <c r="G18" s="233">
        <f>ROIC!F11</f>
        <v>2780.8140000000003</v>
      </c>
      <c r="H18" s="233">
        <f>1299.02+157.138</f>
        <v>1456.1579999999999</v>
      </c>
      <c r="I18" s="238">
        <f t="shared" si="0"/>
        <v>0.52364451559866998</v>
      </c>
      <c r="J18" s="238">
        <f t="shared" si="1"/>
        <v>0.34367892919754955</v>
      </c>
      <c r="K18" s="232">
        <f t="shared" si="2"/>
        <v>1.0913790209356864</v>
      </c>
      <c r="M18" s="231">
        <f t="shared" si="3"/>
        <v>0.25</v>
      </c>
    </row>
    <row r="19" spans="3:13" outlineLevel="1" x14ac:dyDescent="0.2">
      <c r="F19" s="237"/>
      <c r="G19" s="233"/>
      <c r="H19" s="233"/>
      <c r="I19" s="238"/>
      <c r="J19" s="238"/>
      <c r="K19" s="232"/>
      <c r="M19" s="231"/>
    </row>
    <row r="20" spans="3:13" outlineLevel="2" x14ac:dyDescent="0.2">
      <c r="C20" s="239" t="s">
        <v>366</v>
      </c>
      <c r="D20" s="240"/>
      <c r="E20" s="240"/>
      <c r="F20" s="241">
        <f>AVERAGE(F10,F13,F14,F15,F16,F17,F18)</f>
        <v>1.1199999999999999</v>
      </c>
      <c r="G20" s="242">
        <f t="shared" ref="G20:K20" si="4">AVERAGE(G10,G13,G14,G15,G16,G17,G18)</f>
        <v>72278.573467142851</v>
      </c>
      <c r="H20" s="242">
        <f t="shared" si="4"/>
        <v>15109.81157142857</v>
      </c>
      <c r="I20" s="243">
        <f t="shared" si="4"/>
        <v>0.26796091073311584</v>
      </c>
      <c r="J20" s="243">
        <f t="shared" si="4"/>
        <v>0.20323831649676155</v>
      </c>
      <c r="K20" s="244">
        <f t="shared" si="4"/>
        <v>0.93364900544696483</v>
      </c>
      <c r="M20" s="231"/>
    </row>
    <row r="21" spans="3:13" outlineLevel="2" x14ac:dyDescent="0.2">
      <c r="C21" s="245" t="s">
        <v>150</v>
      </c>
      <c r="D21" s="246"/>
      <c r="E21" s="246"/>
      <c r="F21" s="247">
        <f>MEDIAN(F10,F13,F14,F15,F16,F17,F18)</f>
        <v>1.1000000000000001</v>
      </c>
      <c r="G21" s="248">
        <f t="shared" ref="G21:K21" si="5">MEDIAN(G10,G13,G14,G15,G16,G17,G18)</f>
        <v>42504.139000000003</v>
      </c>
      <c r="H21" s="248">
        <f t="shared" si="5"/>
        <v>6335.9999999999991</v>
      </c>
      <c r="I21" s="249">
        <f t="shared" si="5"/>
        <v>0.26663285662603353</v>
      </c>
      <c r="J21" s="249">
        <f t="shared" si="5"/>
        <v>0.21050524248697539</v>
      </c>
      <c r="K21" s="250">
        <f t="shared" si="5"/>
        <v>0.91668603741177468</v>
      </c>
      <c r="M21" s="231"/>
    </row>
    <row r="22" spans="3:13" outlineLevel="2" x14ac:dyDescent="0.2">
      <c r="F22" s="232"/>
      <c r="G22" s="233"/>
      <c r="H22" s="233"/>
      <c r="M22" s="231"/>
    </row>
    <row r="23" spans="3:13" outlineLevel="2" x14ac:dyDescent="0.2">
      <c r="C23" s="251"/>
      <c r="D23" s="252"/>
      <c r="E23" s="252"/>
      <c r="F23" s="253"/>
      <c r="G23" s="254"/>
      <c r="H23" s="254"/>
      <c r="I23" s="252"/>
      <c r="J23" s="252"/>
      <c r="K23" s="255"/>
      <c r="M23" s="231"/>
    </row>
    <row r="24" spans="3:13" outlineLevel="2" x14ac:dyDescent="0.2">
      <c r="C24" s="256" t="s">
        <v>367</v>
      </c>
      <c r="D24" s="218"/>
      <c r="E24" s="218"/>
      <c r="F24" s="257"/>
      <c r="G24" s="258"/>
      <c r="H24" s="258"/>
      <c r="I24" s="218"/>
      <c r="J24" s="218"/>
      <c r="K24" s="259">
        <f>MAX(K21:K21)</f>
        <v>0.91668603741177468</v>
      </c>
      <c r="M24" s="231"/>
    </row>
    <row r="25" spans="3:13" outlineLevel="2" x14ac:dyDescent="0.2">
      <c r="C25" s="256" t="s">
        <v>368</v>
      </c>
      <c r="D25" s="218"/>
      <c r="E25" s="218"/>
      <c r="F25" s="257"/>
      <c r="G25" s="258"/>
      <c r="H25" s="258"/>
      <c r="I25" s="218"/>
      <c r="J25" s="218"/>
      <c r="K25" s="260">
        <f>I21</f>
        <v>0.26663285662603353</v>
      </c>
      <c r="M25" s="231"/>
    </row>
    <row r="26" spans="3:13" outlineLevel="2" x14ac:dyDescent="0.2">
      <c r="C26" s="261" t="s">
        <v>369</v>
      </c>
      <c r="D26" s="262"/>
      <c r="E26" s="262"/>
      <c r="F26" s="263"/>
      <c r="G26" s="264"/>
      <c r="H26" s="264"/>
      <c r="I26" s="262"/>
      <c r="J26" s="262"/>
      <c r="K26" s="265">
        <f>K24*(1+(K25*(1-$D$3)))</f>
        <v>1.1000000000000001</v>
      </c>
      <c r="M26" s="231"/>
    </row>
    <row r="27" spans="3:13" outlineLevel="1" x14ac:dyDescent="0.2">
      <c r="F27" s="232"/>
      <c r="G27" s="233"/>
      <c r="H27" s="233"/>
      <c r="M27" s="231"/>
    </row>
  </sheetData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880788-8D4C-42D2-8D6C-8D96B46EE601}">
  <dimension ref="A1:AB24"/>
  <sheetViews>
    <sheetView showGridLines="0" zoomScale="70" zoomScaleNormal="70" workbookViewId="0">
      <selection activeCell="V14" sqref="V14"/>
    </sheetView>
  </sheetViews>
  <sheetFormatPr defaultRowHeight="15" x14ac:dyDescent="0.25"/>
  <cols>
    <col min="2" max="2" width="11.42578125" bestFit="1" customWidth="1"/>
    <col min="3" max="3" width="18.7109375" bestFit="1" customWidth="1"/>
    <col min="4" max="4" width="11" bestFit="1" customWidth="1"/>
    <col min="5" max="5" width="10" bestFit="1" customWidth="1"/>
    <col min="6" max="6" width="13.28515625" bestFit="1" customWidth="1"/>
    <col min="7" max="7" width="9.5703125" bestFit="1" customWidth="1"/>
    <col min="8" max="8" width="13.28515625" bestFit="1" customWidth="1"/>
    <col min="10" max="10" width="9.85546875" bestFit="1" customWidth="1"/>
    <col min="11" max="11" width="10.5703125" bestFit="1" customWidth="1"/>
    <col min="12" max="13" width="10" bestFit="1" customWidth="1"/>
    <col min="14" max="14" width="16.7109375" bestFit="1" customWidth="1"/>
    <col min="16" max="16" width="10.5703125" bestFit="1" customWidth="1"/>
    <col min="21" max="21" width="24.5703125" bestFit="1" customWidth="1"/>
    <col min="22" max="22" width="23.85546875" bestFit="1" customWidth="1"/>
    <col min="23" max="23" width="11" bestFit="1" customWidth="1"/>
    <col min="24" max="24" width="9.85546875" bestFit="1" customWidth="1"/>
    <col min="26" max="26" width="24.28515625" bestFit="1" customWidth="1"/>
    <col min="27" max="27" width="12.85546875" bestFit="1" customWidth="1"/>
  </cols>
  <sheetData>
    <row r="1" spans="1:28" x14ac:dyDescent="0.25">
      <c r="A1" t="s">
        <v>322</v>
      </c>
      <c r="B1" s="195">
        <v>45646</v>
      </c>
      <c r="K1">
        <v>2024</v>
      </c>
      <c r="L1">
        <f>K1+1</f>
        <v>2025</v>
      </c>
      <c r="M1">
        <f t="shared" ref="M1" si="0">L1+1</f>
        <v>2026</v>
      </c>
    </row>
    <row r="2" spans="1:28" x14ac:dyDescent="0.25">
      <c r="B2" s="307" t="s">
        <v>296</v>
      </c>
      <c r="C2" s="308" t="s">
        <v>323</v>
      </c>
      <c r="D2" s="308" t="s">
        <v>324</v>
      </c>
      <c r="E2" s="308" t="s">
        <v>281</v>
      </c>
      <c r="F2" s="307" t="s">
        <v>325</v>
      </c>
      <c r="G2" s="307" t="s">
        <v>326</v>
      </c>
      <c r="H2" s="307" t="s">
        <v>327</v>
      </c>
      <c r="I2" s="307" t="s">
        <v>328</v>
      </c>
      <c r="J2" s="307" t="s">
        <v>88</v>
      </c>
      <c r="K2" s="64" t="s">
        <v>260</v>
      </c>
      <c r="L2" s="64" t="s">
        <v>260</v>
      </c>
      <c r="M2" s="64" t="s">
        <v>260</v>
      </c>
      <c r="N2" s="307" t="s">
        <v>339</v>
      </c>
      <c r="O2" s="307" t="s">
        <v>329</v>
      </c>
      <c r="P2" s="307" t="s">
        <v>330</v>
      </c>
      <c r="Q2" s="307" t="s">
        <v>255</v>
      </c>
      <c r="R2" s="307" t="s">
        <v>331</v>
      </c>
      <c r="S2" s="308" t="s">
        <v>332</v>
      </c>
      <c r="Y2" s="196"/>
      <c r="Z2" s="196"/>
      <c r="AA2" s="196"/>
      <c r="AB2" s="196"/>
    </row>
    <row r="3" spans="1:28" x14ac:dyDescent="0.25">
      <c r="B3" s="307"/>
      <c r="C3" s="308"/>
      <c r="D3" s="308"/>
      <c r="E3" s="308"/>
      <c r="F3" s="307"/>
      <c r="G3" s="307"/>
      <c r="H3" s="307"/>
      <c r="I3" s="307"/>
      <c r="J3" s="307"/>
      <c r="K3" s="288">
        <v>2024</v>
      </c>
      <c r="L3" s="288">
        <f>K3+1</f>
        <v>2025</v>
      </c>
      <c r="M3" s="288">
        <f t="shared" ref="M3" si="1">L3+1</f>
        <v>2026</v>
      </c>
      <c r="N3" s="307"/>
      <c r="O3" s="307"/>
      <c r="P3" s="307"/>
      <c r="Q3" s="307"/>
      <c r="R3" s="307"/>
      <c r="S3" s="308"/>
      <c r="Y3" s="196"/>
      <c r="Z3" s="196"/>
      <c r="AA3" s="196"/>
      <c r="AB3" s="196"/>
    </row>
    <row r="4" spans="1:28" x14ac:dyDescent="0.25">
      <c r="B4" t="s">
        <v>338</v>
      </c>
      <c r="C4" t="s">
        <v>352</v>
      </c>
      <c r="D4" s="212">
        <f>TSM!C6</f>
        <v>54.33</v>
      </c>
      <c r="E4" s="7">
        <f>TSM!L15</f>
        <v>1367.0009547211484</v>
      </c>
      <c r="F4" s="7">
        <f>D4*E4</f>
        <v>74269.161869999996</v>
      </c>
      <c r="G4" s="65">
        <f>SUM(TSM!L17:L21)</f>
        <v>3514.2449999999999</v>
      </c>
      <c r="H4" s="7">
        <f>SUM(F4:G4)</f>
        <v>77783.406869999992</v>
      </c>
      <c r="I4" s="65">
        <f>3655.546+4262.782+277.836-748.537</f>
        <v>7447.6269999999986</v>
      </c>
      <c r="J4">
        <v>21.939</v>
      </c>
      <c r="K4" s="65">
        <v>1930</v>
      </c>
      <c r="L4" s="65">
        <v>2255</v>
      </c>
      <c r="M4" s="65">
        <v>2682</v>
      </c>
      <c r="N4" s="35">
        <v>0.25</v>
      </c>
      <c r="O4" s="34">
        <f>(L4*(1-N4))/(G4+I4-J4)</f>
        <v>0.1545941826151952</v>
      </c>
      <c r="P4" s="7">
        <f>I4+G4-J4</f>
        <v>10939.932999999999</v>
      </c>
      <c r="Q4" s="198">
        <v>0.09</v>
      </c>
      <c r="R4" s="199">
        <f>H4/P4</f>
        <v>7.1100441721169592</v>
      </c>
      <c r="S4" s="36">
        <f>O4-Q4</f>
        <v>6.45941826151952E-2</v>
      </c>
      <c r="U4" s="199"/>
      <c r="V4" s="199"/>
      <c r="W4" s="65"/>
      <c r="X4" s="65"/>
      <c r="Y4" s="34"/>
      <c r="Z4" s="34"/>
      <c r="AA4" s="35"/>
      <c r="AB4" s="35"/>
    </row>
    <row r="5" spans="1:28" x14ac:dyDescent="0.25">
      <c r="D5" s="197"/>
      <c r="E5" s="7"/>
      <c r="F5" s="7"/>
      <c r="G5" s="65"/>
      <c r="H5" s="7"/>
      <c r="I5" s="65"/>
      <c r="K5" s="65"/>
      <c r="L5" s="65"/>
      <c r="M5" s="65"/>
      <c r="N5" s="35"/>
      <c r="O5" s="34"/>
      <c r="Q5" s="198"/>
      <c r="R5" s="199"/>
      <c r="S5" s="36"/>
      <c r="U5" s="199"/>
      <c r="V5" s="199"/>
      <c r="W5" s="65"/>
      <c r="X5" s="65"/>
    </row>
    <row r="6" spans="1:28" x14ac:dyDescent="0.25">
      <c r="B6" t="s">
        <v>340</v>
      </c>
      <c r="C6" t="s">
        <v>342</v>
      </c>
      <c r="D6" s="197">
        <v>152.29</v>
      </c>
      <c r="E6" s="200">
        <v>279.10000000000002</v>
      </c>
      <c r="F6" s="7">
        <f t="shared" ref="F6:F11" si="2">D6*E6</f>
        <v>42504.139000000003</v>
      </c>
      <c r="G6" s="65">
        <f>11306+27-616</f>
        <v>10717</v>
      </c>
      <c r="H6" s="7">
        <f t="shared" ref="H6:H11" si="3">SUM(F6:G6)</f>
        <v>53221.139000000003</v>
      </c>
      <c r="I6" s="65">
        <v>-7648</v>
      </c>
      <c r="J6">
        <v>736</v>
      </c>
      <c r="K6" s="65">
        <v>2572</v>
      </c>
      <c r="L6" s="65">
        <v>2670</v>
      </c>
      <c r="M6" s="65">
        <v>2883</v>
      </c>
      <c r="N6" s="35">
        <v>0.25</v>
      </c>
      <c r="O6" s="34">
        <f t="shared" ref="O6:O11" si="4">(L6*(1-N6))/(G6+I6-J6)</f>
        <v>0.85833690527218176</v>
      </c>
      <c r="P6" s="37">
        <f t="shared" ref="P6:P11" si="5">I6+G6-J6</f>
        <v>2333</v>
      </c>
      <c r="Q6" s="198">
        <f t="shared" ref="Q6:Q11" si="6">$Q$4</f>
        <v>0.09</v>
      </c>
      <c r="R6" s="199">
        <f t="shared" ref="R6:R11" si="7">H6/P6</f>
        <v>22.812318474067727</v>
      </c>
      <c r="S6" s="36">
        <f t="shared" ref="S6:S10" si="8">O6-Q6</f>
        <v>0.76833690527218179</v>
      </c>
      <c r="U6" s="199"/>
      <c r="V6" s="199"/>
      <c r="W6" s="65"/>
      <c r="X6" s="65"/>
      <c r="Y6" s="34"/>
      <c r="Z6" s="34"/>
    </row>
    <row r="7" spans="1:28" x14ac:dyDescent="0.25">
      <c r="B7" t="s">
        <v>341</v>
      </c>
      <c r="C7" t="s">
        <v>343</v>
      </c>
      <c r="D7" s="197">
        <v>112.52</v>
      </c>
      <c r="E7" s="7">
        <v>1140</v>
      </c>
      <c r="F7" s="7">
        <f t="shared" si="2"/>
        <v>128272.79999999999</v>
      </c>
      <c r="G7" s="65">
        <f>14312.2+8856.8+1453.3+1249.2-3671.4-449.3</f>
        <v>21750.799999999999</v>
      </c>
      <c r="H7" s="7">
        <f t="shared" si="3"/>
        <v>150023.59999999998</v>
      </c>
      <c r="I7" s="65">
        <f>-7464.6</f>
        <v>-7464.6</v>
      </c>
      <c r="J7">
        <v>3287.9</v>
      </c>
      <c r="K7" s="65">
        <v>5409</v>
      </c>
      <c r="L7" s="65">
        <v>4838</v>
      </c>
      <c r="M7" s="65">
        <v>4914</v>
      </c>
      <c r="N7" s="35">
        <v>0.25</v>
      </c>
      <c r="O7" s="34">
        <f t="shared" si="4"/>
        <v>0.32991462316903525</v>
      </c>
      <c r="P7" s="37">
        <f t="shared" si="5"/>
        <v>10998.3</v>
      </c>
      <c r="Q7" s="198">
        <f t="shared" si="6"/>
        <v>0.09</v>
      </c>
      <c r="R7" s="199">
        <f t="shared" si="7"/>
        <v>13.640617186292426</v>
      </c>
      <c r="S7" s="36">
        <f t="shared" si="8"/>
        <v>0.23991462316903525</v>
      </c>
      <c r="U7" s="199"/>
      <c r="V7" s="199"/>
      <c r="W7" s="65"/>
      <c r="X7" s="65"/>
      <c r="Y7" s="34"/>
      <c r="Z7" s="34"/>
    </row>
    <row r="8" spans="1:28" x14ac:dyDescent="0.25">
      <c r="B8" t="s">
        <v>344</v>
      </c>
      <c r="C8" t="s">
        <v>345</v>
      </c>
      <c r="D8" s="197">
        <v>305.27</v>
      </c>
      <c r="E8" s="7">
        <v>716.62</v>
      </c>
      <c r="F8" s="7">
        <f t="shared" si="2"/>
        <v>218762.58739999999</v>
      </c>
      <c r="G8" s="65">
        <f>38424+12888-1085</f>
        <v>50227</v>
      </c>
      <c r="H8" s="7">
        <f t="shared" si="3"/>
        <v>268989.58739999996</v>
      </c>
      <c r="I8" s="65">
        <v>-3797</v>
      </c>
      <c r="J8">
        <v>3145</v>
      </c>
      <c r="K8" s="65">
        <v>12003</v>
      </c>
      <c r="L8" s="65">
        <v>12512</v>
      </c>
      <c r="M8" s="65">
        <v>13340</v>
      </c>
      <c r="N8" s="35">
        <v>0.25</v>
      </c>
      <c r="O8" s="34">
        <f t="shared" si="4"/>
        <v>0.21679565669400486</v>
      </c>
      <c r="P8" s="37">
        <f t="shared" si="5"/>
        <v>43285</v>
      </c>
      <c r="Q8" s="198">
        <f t="shared" si="6"/>
        <v>0.09</v>
      </c>
      <c r="R8" s="199">
        <f t="shared" si="7"/>
        <v>6.214383444611296</v>
      </c>
      <c r="S8" s="36">
        <f t="shared" si="8"/>
        <v>0.12679565669400486</v>
      </c>
      <c r="U8" s="199"/>
      <c r="V8" s="199"/>
      <c r="W8" s="65"/>
      <c r="X8" s="65"/>
      <c r="Y8" s="34"/>
      <c r="Z8" s="34"/>
    </row>
    <row r="9" spans="1:28" x14ac:dyDescent="0.25">
      <c r="B9" t="s">
        <v>346</v>
      </c>
      <c r="C9" t="s">
        <v>347</v>
      </c>
      <c r="D9" s="197">
        <v>194.72</v>
      </c>
      <c r="E9" s="7">
        <v>117.15</v>
      </c>
      <c r="F9" s="7">
        <f t="shared" si="2"/>
        <v>22811.448</v>
      </c>
      <c r="G9" s="65">
        <f>2121.7+3939.1+275.2-217.3</f>
        <v>6118.6999999999989</v>
      </c>
      <c r="H9" s="7">
        <f t="shared" si="3"/>
        <v>28930.148000000001</v>
      </c>
      <c r="I9" s="65">
        <v>2070.9</v>
      </c>
      <c r="J9">
        <v>1653.9</v>
      </c>
      <c r="K9" s="65">
        <v>1366</v>
      </c>
      <c r="L9" s="65">
        <v>1447</v>
      </c>
      <c r="M9" s="65">
        <v>1604</v>
      </c>
      <c r="N9" s="35">
        <v>0.25</v>
      </c>
      <c r="O9" s="34">
        <f t="shared" si="4"/>
        <v>0.16604954327769025</v>
      </c>
      <c r="P9" s="37">
        <f t="shared" si="5"/>
        <v>6535.6999999999989</v>
      </c>
      <c r="Q9" s="198">
        <f t="shared" si="6"/>
        <v>0.09</v>
      </c>
      <c r="R9" s="199">
        <f t="shared" si="7"/>
        <v>4.4264804076074489</v>
      </c>
      <c r="S9" s="36">
        <f t="shared" si="8"/>
        <v>7.6049543277690257E-2</v>
      </c>
      <c r="U9" s="199"/>
      <c r="V9" s="199"/>
      <c r="W9" s="65"/>
      <c r="X9" s="65"/>
      <c r="Y9" s="34"/>
      <c r="Z9" s="34"/>
    </row>
    <row r="10" spans="1:28" x14ac:dyDescent="0.25">
      <c r="B10" t="s">
        <v>348</v>
      </c>
      <c r="C10" t="s">
        <v>349</v>
      </c>
      <c r="D10" s="197">
        <v>482.48</v>
      </c>
      <c r="E10" s="7">
        <v>34.299999999999997</v>
      </c>
      <c r="F10" s="7">
        <f t="shared" si="2"/>
        <v>16549.063999999998</v>
      </c>
      <c r="G10" s="65">
        <f>1149.679+39.92+3825.659+181.983-186.126</f>
        <v>5011.1149999999998</v>
      </c>
      <c r="H10" s="7">
        <f t="shared" si="3"/>
        <v>21560.178999999996</v>
      </c>
      <c r="I10" s="65">
        <v>-3962.2910000000002</v>
      </c>
      <c r="J10" s="201">
        <v>11.577999999999999</v>
      </c>
      <c r="K10" s="65">
        <v>879</v>
      </c>
      <c r="L10" s="65">
        <v>938</v>
      </c>
      <c r="M10" s="65">
        <v>1008</v>
      </c>
      <c r="N10" s="35">
        <v>0.25</v>
      </c>
      <c r="O10" s="34">
        <f t="shared" si="4"/>
        <v>0.67823833497550268</v>
      </c>
      <c r="P10" s="37">
        <f t="shared" si="5"/>
        <v>1037.2459999999996</v>
      </c>
      <c r="Q10" s="198">
        <f t="shared" si="6"/>
        <v>0.09</v>
      </c>
      <c r="R10" s="199">
        <f t="shared" si="7"/>
        <v>20.785984231320249</v>
      </c>
      <c r="S10" s="36">
        <f t="shared" si="8"/>
        <v>0.58823833497550271</v>
      </c>
      <c r="U10" s="199"/>
      <c r="V10" s="199"/>
      <c r="W10" s="65"/>
      <c r="X10" s="65"/>
      <c r="Y10" s="34"/>
      <c r="Z10" s="34"/>
    </row>
    <row r="11" spans="1:28" x14ac:dyDescent="0.25">
      <c r="B11" t="s">
        <v>350</v>
      </c>
      <c r="C11" t="s">
        <v>351</v>
      </c>
      <c r="D11" s="197">
        <v>53.85</v>
      </c>
      <c r="E11" s="7">
        <v>51.64</v>
      </c>
      <c r="F11" s="7">
        <f t="shared" si="2"/>
        <v>2780.8140000000003</v>
      </c>
      <c r="G11" s="65">
        <f>1299.02-84.176+157.138</f>
        <v>1371.982</v>
      </c>
      <c r="H11" s="7">
        <f t="shared" si="3"/>
        <v>4152.7960000000003</v>
      </c>
      <c r="I11" s="65">
        <v>443.45499999999998</v>
      </c>
      <c r="J11">
        <v>0</v>
      </c>
      <c r="K11" s="65">
        <v>194</v>
      </c>
      <c r="L11" s="65">
        <v>210</v>
      </c>
      <c r="M11" s="65">
        <v>232</v>
      </c>
      <c r="N11" s="35">
        <v>0.25</v>
      </c>
      <c r="O11" s="34">
        <f t="shared" si="4"/>
        <v>8.6755971151849395E-2</v>
      </c>
      <c r="P11" s="37">
        <f t="shared" si="5"/>
        <v>1815.4369999999999</v>
      </c>
      <c r="Q11" s="198">
        <f t="shared" si="6"/>
        <v>0.09</v>
      </c>
      <c r="R11" s="199">
        <f t="shared" si="7"/>
        <v>2.2874911109556546</v>
      </c>
      <c r="S11" s="36">
        <f>O11-Q11</f>
        <v>-3.2440288481506013E-3</v>
      </c>
      <c r="U11" s="199"/>
      <c r="V11" s="199"/>
      <c r="W11" s="65"/>
      <c r="X11" s="65"/>
      <c r="Y11" s="34"/>
      <c r="Z11" s="34"/>
    </row>
    <row r="13" spans="1:28" x14ac:dyDescent="0.25">
      <c r="B13" t="s">
        <v>393</v>
      </c>
      <c r="S13" s="36">
        <f>_xlfn.QUARTILE.EXC(S4:S11,1)</f>
        <v>6.45941826151952E-2</v>
      </c>
    </row>
    <row r="14" spans="1:28" x14ac:dyDescent="0.25">
      <c r="B14" t="s">
        <v>392</v>
      </c>
      <c r="S14" s="36">
        <f>_xlfn.QUARTILE.EXC(S4:S11,3)</f>
        <v>0.58823833497550271</v>
      </c>
      <c r="U14" t="s">
        <v>333</v>
      </c>
      <c r="V14" s="202" t="s">
        <v>394</v>
      </c>
    </row>
    <row r="15" spans="1:28" x14ac:dyDescent="0.25">
      <c r="U15" t="s">
        <v>334</v>
      </c>
      <c r="V15" s="203">
        <f>S4+0.1229/0.0352</f>
        <v>3.5560714553424675</v>
      </c>
    </row>
    <row r="16" spans="1:28" x14ac:dyDescent="0.25">
      <c r="U16" t="s">
        <v>354</v>
      </c>
      <c r="V16" s="204">
        <f>P4</f>
        <v>10939.932999999999</v>
      </c>
    </row>
    <row r="17" spans="21:22" x14ac:dyDescent="0.25">
      <c r="U17" s="205" t="s">
        <v>355</v>
      </c>
      <c r="V17" s="206">
        <f>V16*V15</f>
        <v>38903.18346465908</v>
      </c>
    </row>
    <row r="18" spans="21:22" x14ac:dyDescent="0.25">
      <c r="U18" s="207" t="s">
        <v>353</v>
      </c>
      <c r="V18" s="208">
        <f>V17/L4</f>
        <v>17.251966059715777</v>
      </c>
    </row>
    <row r="20" spans="21:22" x14ac:dyDescent="0.25">
      <c r="U20" t="s">
        <v>279</v>
      </c>
      <c r="V20" s="204">
        <f>-G4</f>
        <v>-3514.2449999999999</v>
      </c>
    </row>
    <row r="21" spans="21:22" x14ac:dyDescent="0.25">
      <c r="U21" t="s">
        <v>335</v>
      </c>
      <c r="V21" s="204">
        <f>V17+V20</f>
        <v>35388.938464659077</v>
      </c>
    </row>
    <row r="22" spans="21:22" x14ac:dyDescent="0.25">
      <c r="U22" t="s">
        <v>281</v>
      </c>
      <c r="V22" s="209">
        <f>E4</f>
        <v>1367.0009547211484</v>
      </c>
    </row>
    <row r="23" spans="21:22" ht="15.75" thickBot="1" x14ac:dyDescent="0.3">
      <c r="U23" t="s">
        <v>336</v>
      </c>
      <c r="V23" s="210">
        <f>V21/V22</f>
        <v>25.888012983778779</v>
      </c>
    </row>
    <row r="24" spans="21:22" ht="15.75" thickBot="1" x14ac:dyDescent="0.3">
      <c r="U24" s="54" t="s">
        <v>337</v>
      </c>
      <c r="V24" s="211">
        <f>V23/D4-1</f>
        <v>-0.52350427049919412</v>
      </c>
    </row>
  </sheetData>
  <mergeCells count="15">
    <mergeCell ref="G2:G3"/>
    <mergeCell ref="B2:B3"/>
    <mergeCell ref="C2:C3"/>
    <mergeCell ref="D2:D3"/>
    <mergeCell ref="E2:E3"/>
    <mergeCell ref="F2:F3"/>
    <mergeCell ref="Q2:Q3"/>
    <mergeCell ref="R2:R3"/>
    <mergeCell ref="S2:S3"/>
    <mergeCell ref="H2:H3"/>
    <mergeCell ref="I2:I3"/>
    <mergeCell ref="J2:J3"/>
    <mergeCell ref="N2:N3"/>
    <mergeCell ref="O2:O3"/>
    <mergeCell ref="P2:P3"/>
  </mergeCells>
  <pageMargins left="0.7" right="0.7" top="0.75" bottom="0.75" header="0.3" footer="0.3"/>
  <drawing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09FBFC-C2B8-4D8E-BBB9-D3F964F29E7A}">
  <dimension ref="B3:L22"/>
  <sheetViews>
    <sheetView workbookViewId="0">
      <selection activeCell="L17" sqref="L17"/>
    </sheetView>
  </sheetViews>
  <sheetFormatPr defaultRowHeight="14.25" x14ac:dyDescent="0.2"/>
  <cols>
    <col min="1" max="1" width="9.140625" style="4"/>
    <col min="2" max="2" width="16.140625" style="4" customWidth="1"/>
    <col min="3" max="3" width="11.28515625" style="4" bestFit="1" customWidth="1"/>
    <col min="4" max="6" width="9.140625" style="4"/>
    <col min="7" max="7" width="10.7109375" style="4" bestFit="1" customWidth="1"/>
    <col min="8" max="8" width="10.7109375" style="4" customWidth="1"/>
    <col min="9" max="9" width="17.5703125" style="4" customWidth="1"/>
    <col min="10" max="11" width="9.140625" style="4"/>
    <col min="12" max="12" width="12.85546875" style="4" bestFit="1" customWidth="1"/>
    <col min="13" max="16384" width="9.140625" style="4"/>
  </cols>
  <sheetData>
    <row r="3" spans="2:12" ht="15" x14ac:dyDescent="0.25">
      <c r="B3" s="175" t="s">
        <v>295</v>
      </c>
      <c r="C3" s="175"/>
      <c r="D3" s="175"/>
      <c r="E3" s="175"/>
      <c r="F3" s="175"/>
      <c r="G3" s="175"/>
      <c r="H3" s="175"/>
      <c r="I3" s="175"/>
      <c r="J3" s="175"/>
      <c r="K3" s="175"/>
      <c r="L3" s="175"/>
    </row>
    <row r="5" spans="2:12" x14ac:dyDescent="0.2">
      <c r="B5" s="4" t="s">
        <v>296</v>
      </c>
      <c r="C5" s="176" t="s">
        <v>338</v>
      </c>
    </row>
    <row r="6" spans="2:12" x14ac:dyDescent="0.2">
      <c r="B6" s="4" t="s">
        <v>297</v>
      </c>
      <c r="C6" s="177">
        <v>54.33</v>
      </c>
    </row>
    <row r="7" spans="2:12" x14ac:dyDescent="0.2">
      <c r="B7" s="4" t="s">
        <v>298</v>
      </c>
      <c r="C7" s="178">
        <v>45713</v>
      </c>
    </row>
    <row r="8" spans="2:12" x14ac:dyDescent="0.2">
      <c r="B8" s="4" t="s">
        <v>299</v>
      </c>
      <c r="C8" s="179">
        <v>1355.337</v>
      </c>
    </row>
    <row r="10" spans="2:12" ht="15" thickBot="1" x14ac:dyDescent="0.25"/>
    <row r="11" spans="2:12" ht="15.75" thickBot="1" x14ac:dyDescent="0.3">
      <c r="B11" s="180"/>
      <c r="C11" s="181"/>
      <c r="D11" s="182" t="s">
        <v>300</v>
      </c>
      <c r="E11" s="182" t="s">
        <v>301</v>
      </c>
      <c r="F11" s="182" t="s">
        <v>302</v>
      </c>
      <c r="G11" s="183" t="s">
        <v>303</v>
      </c>
      <c r="I11" s="184" t="s">
        <v>304</v>
      </c>
      <c r="J11" s="182"/>
      <c r="K11" s="182"/>
      <c r="L11" s="183"/>
    </row>
    <row r="12" spans="2:12" x14ac:dyDescent="0.2">
      <c r="B12" s="4" t="s">
        <v>321</v>
      </c>
      <c r="D12" s="185">
        <v>9.9969999999999999</v>
      </c>
      <c r="E12" s="4">
        <v>32.07</v>
      </c>
      <c r="F12" s="4">
        <f>IF(E12&gt;$C$6,0,1)</f>
        <v>1</v>
      </c>
      <c r="G12" s="193">
        <f>F12*E12*D12</f>
        <v>320.60379</v>
      </c>
      <c r="I12" s="4" t="str">
        <f>"Current Price (as of "&amp;TEXT(C7,"m/d/yy")&amp;")"</f>
        <v>Current Price (as of 2/25/25)</v>
      </c>
      <c r="L12" s="186">
        <f>C6</f>
        <v>54.33</v>
      </c>
    </row>
    <row r="13" spans="2:12" x14ac:dyDescent="0.2">
      <c r="B13" s="4" t="s">
        <v>305</v>
      </c>
      <c r="D13" s="185">
        <v>3.919</v>
      </c>
      <c r="F13" s="4">
        <f>IF(E13&gt;$C$6,0,1)</f>
        <v>1</v>
      </c>
      <c r="G13" s="193">
        <f>F13*E13*D13</f>
        <v>0</v>
      </c>
      <c r="I13" s="68" t="s">
        <v>307</v>
      </c>
      <c r="J13" s="68"/>
      <c r="K13" s="68"/>
      <c r="L13" s="187">
        <v>0</v>
      </c>
    </row>
    <row r="14" spans="2:12" x14ac:dyDescent="0.2">
      <c r="B14" s="4" t="s">
        <v>306</v>
      </c>
      <c r="D14" s="4">
        <v>3.649</v>
      </c>
      <c r="F14" s="4">
        <f>IF(E14&gt;$C$6,0,1)</f>
        <v>1</v>
      </c>
      <c r="G14" s="193">
        <f>F14*E14*D14</f>
        <v>0</v>
      </c>
      <c r="I14" s="4" t="s">
        <v>308</v>
      </c>
      <c r="L14" s="186">
        <f>L12*(1+L13)</f>
        <v>54.33</v>
      </c>
    </row>
    <row r="15" spans="2:12" x14ac:dyDescent="0.2">
      <c r="B15" s="38" t="s">
        <v>309</v>
      </c>
      <c r="C15" s="38"/>
      <c r="D15" s="188">
        <f>SUM(D12:D14)</f>
        <v>17.565000000000001</v>
      </c>
      <c r="E15" s="38"/>
      <c r="F15" s="38"/>
      <c r="G15" s="194">
        <f>SUM(G12:G14)</f>
        <v>320.60379</v>
      </c>
      <c r="I15" s="4" t="s">
        <v>310</v>
      </c>
      <c r="L15" s="193">
        <f>G20</f>
        <v>1367.0009547211484</v>
      </c>
    </row>
    <row r="16" spans="2:12" ht="15" x14ac:dyDescent="0.25">
      <c r="B16" s="4" t="s">
        <v>311</v>
      </c>
      <c r="D16" s="185">
        <f>SUMPRODUCT(D12:D14,F12:F14)</f>
        <v>17.565000000000001</v>
      </c>
      <c r="I16" s="189" t="s">
        <v>280</v>
      </c>
      <c r="J16" s="189"/>
      <c r="K16" s="189"/>
      <c r="L16" s="190">
        <f>L14*L15</f>
        <v>74269.161869999996</v>
      </c>
    </row>
    <row r="17" spans="2:12" x14ac:dyDescent="0.2">
      <c r="I17" s="4" t="s">
        <v>312</v>
      </c>
      <c r="L17" s="191">
        <v>4262.7820000000002</v>
      </c>
    </row>
    <row r="18" spans="2:12" x14ac:dyDescent="0.2">
      <c r="B18" s="4" t="s">
        <v>313</v>
      </c>
      <c r="G18" s="185">
        <f>G15/C6</f>
        <v>5.9010452788514636</v>
      </c>
      <c r="I18" s="4" t="s">
        <v>314</v>
      </c>
      <c r="L18" s="191"/>
    </row>
    <row r="19" spans="2:12" x14ac:dyDescent="0.2">
      <c r="B19" s="4" t="s">
        <v>315</v>
      </c>
      <c r="G19" s="185">
        <f>D16-G18</f>
        <v>11.663954721148539</v>
      </c>
      <c r="I19" s="4" t="s">
        <v>316</v>
      </c>
      <c r="L19" s="191"/>
    </row>
    <row r="20" spans="2:12" ht="15" x14ac:dyDescent="0.25">
      <c r="B20" s="189" t="s">
        <v>317</v>
      </c>
      <c r="C20" s="189"/>
      <c r="D20" s="189"/>
      <c r="E20" s="189"/>
      <c r="F20" s="189"/>
      <c r="G20" s="192">
        <f>C8+G19</f>
        <v>1367.0009547211484</v>
      </c>
      <c r="I20" s="4" t="s">
        <v>318</v>
      </c>
      <c r="L20" s="191"/>
    </row>
    <row r="21" spans="2:12" ht="15" x14ac:dyDescent="0.25">
      <c r="H21" s="25"/>
      <c r="I21" s="4" t="s">
        <v>319</v>
      </c>
      <c r="L21" s="191">
        <v>-748.53700000000003</v>
      </c>
    </row>
    <row r="22" spans="2:12" ht="15" x14ac:dyDescent="0.25">
      <c r="I22" s="189" t="s">
        <v>320</v>
      </c>
      <c r="J22" s="189"/>
      <c r="K22" s="189"/>
      <c r="L22" s="190">
        <f>SUM(L16:L21)</f>
        <v>77783.406870000006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Model</vt:lpstr>
      <vt:lpstr>Returns Analysis</vt:lpstr>
      <vt:lpstr>vs. CONS</vt:lpstr>
      <vt:lpstr>Cost Forecast</vt:lpstr>
      <vt:lpstr>Restaurant Forecast</vt:lpstr>
      <vt:lpstr>DCF</vt:lpstr>
      <vt:lpstr>WACC</vt:lpstr>
      <vt:lpstr>Beta Determination</vt:lpstr>
      <vt:lpstr>ROIC</vt:lpstr>
      <vt:lpstr>TSM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schmitt</dc:creator>
  <cp:lastModifiedBy>eric schmitt</cp:lastModifiedBy>
  <dcterms:created xsi:type="dcterms:W3CDTF">2025-02-21T17:58:56Z</dcterms:created>
  <dcterms:modified xsi:type="dcterms:W3CDTF">2025-02-27T07:32:39Z</dcterms:modified>
</cp:coreProperties>
</file>