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2.xml" ContentType="application/vnd.openxmlformats-officedocument.drawing+xml"/>
  <Override PartName="/xl/comments5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0.xml" ContentType="application/vnd.openxmlformats-officedocument.spreadsheetml.comments+xml"/>
  <Override PartName="/xl/comments21.xml" ContentType="application/vnd.openxmlformats-officedocument.spreadsheetml.comments+xml"/>
  <Override PartName="/xl/comments2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26a9230c60c51ab/Desktop/Shoals/"/>
    </mc:Choice>
  </mc:AlternateContent>
  <xr:revisionPtr revIDLastSave="1322" documentId="8_{295F0227-3435-4684-BA6D-AD82F4CEE9DE}" xr6:coauthVersionLast="47" xr6:coauthVersionMax="47" xr10:uidLastSave="{4B74DC7D-2BE2-4C38-A817-FCBB095C9AEC}"/>
  <bookViews>
    <workbookView xWindow="-120" yWindow="-120" windowWidth="29040" windowHeight="15840" xr2:uid="{9592DCA2-097F-46BA-8717-EB0267F8284C}"/>
  </bookViews>
  <sheets>
    <sheet name="Cover" sheetId="1" r:id="rId1"/>
    <sheet name="TSM (SHLS)" sheetId="18" r:id="rId2"/>
    <sheet name="Model&gt;&gt;" sheetId="6" r:id="rId3"/>
    <sheet name="BS" sheetId="39" r:id="rId4"/>
    <sheet name="IS" sheetId="23" r:id="rId5"/>
    <sheet name="CF" sheetId="40" r:id="rId6"/>
    <sheet name="TAM Builds" sheetId="83" r:id="rId7"/>
    <sheet name="Valuation Analysis&gt;&gt;" sheetId="72" r:id="rId8"/>
    <sheet name="DCF - 5 Year" sheetId="8" r:id="rId9"/>
    <sheet name="DCF - 10 Year" sheetId="73" r:id="rId10"/>
    <sheet name="WACC Analysis&gt;&gt;" sheetId="69" r:id="rId11"/>
    <sheet name="WACC" sheetId="71" r:id="rId12"/>
    <sheet name="Beta Determination" sheetId="70" r:id="rId13"/>
    <sheet name="PPT Outputs&gt;&gt;" sheetId="77" r:id="rId14"/>
    <sheet name="Price Volume Chart (SHLS)" sheetId="80" r:id="rId15"/>
    <sheet name="vs. Broker Consensus" sheetId="74" r:id="rId16"/>
    <sheet name="Financial Statements" sheetId="78" r:id="rId17"/>
    <sheet name="Market Share Output" sheetId="84" r:id="rId18"/>
    <sheet name="Comps&gt;&gt;" sheetId="65" r:id="rId19"/>
    <sheet name="Comparables Analysis" sheetId="68" r:id="rId20"/>
    <sheet name="Broker Estimates" sheetId="79" r:id="rId21"/>
    <sheet name="Comps Charts" sheetId="76" r:id="rId22"/>
    <sheet name="TSM Builds&gt;&gt;" sheetId="48" r:id="rId23"/>
    <sheet name="Solar Trackers&gt;&gt;" sheetId="64" r:id="rId24"/>
    <sheet name="TSM (Arctech)" sheetId="49" r:id="rId25"/>
    <sheet name="TSM (ARRY)" sheetId="51" r:id="rId26"/>
    <sheet name="TSM (Soltec)" sheetId="50" r:id="rId27"/>
    <sheet name="Solar Inverters&gt;&gt;" sheetId="66" r:id="rId28"/>
    <sheet name="TSM (ENPH)" sheetId="52" r:id="rId29"/>
    <sheet name="TSM (GNRC)" sheetId="54" r:id="rId30"/>
    <sheet name="TSM (SMTGY)" sheetId="55" r:id="rId31"/>
    <sheet name="TSM (SEDG)" sheetId="53" r:id="rId32"/>
    <sheet name="Solar Modules&gt;&gt;" sheetId="67" r:id="rId33"/>
    <sheet name="TSM (CSIQ)" sheetId="57" r:id="rId34"/>
    <sheet name="TSM (FSLR)" sheetId="59" r:id="rId35"/>
    <sheet name="TSM (JKS)" sheetId="56" r:id="rId36"/>
    <sheet name="TSM (MAXN)" sheetId="58" r:id="rId37"/>
    <sheet name="Industrial Tech Comps&gt;&gt;" sheetId="61" r:id="rId38"/>
    <sheet name="TSM (APH)" sheetId="60" r:id="rId39"/>
    <sheet name="TSM (ETN)" sheetId="63" r:id="rId40"/>
    <sheet name="TSM (TEL)" sheetId="62" r:id="rId41"/>
    <sheet name="Shoals Bamsec Actuals&gt;&gt;" sheetId="10" r:id="rId42"/>
    <sheet name="IS&gt;&gt;" sheetId="42" r:id="rId43"/>
    <sheet name="IS FY21" sheetId="47" r:id="rId44"/>
    <sheet name="IS 1Q21" sheetId="41" r:id="rId45"/>
    <sheet name="IS 2Q21" sheetId="43" r:id="rId46"/>
    <sheet name="IS 3Q21" sheetId="44" r:id="rId47"/>
    <sheet name="IS 1Q22" sheetId="45" r:id="rId48"/>
    <sheet name="IS 2Q22" sheetId="46" r:id="rId49"/>
    <sheet name="BS&gt;&gt;" sheetId="25" r:id="rId50"/>
    <sheet name="BS FY18-20" sheetId="24" r:id="rId51"/>
    <sheet name="BS 1Q21" sheetId="26" r:id="rId52"/>
    <sheet name="BS 2Q21" sheetId="27" r:id="rId53"/>
    <sheet name="BS 3Q21" sheetId="28" r:id="rId54"/>
    <sheet name="BS FY21" sheetId="29" r:id="rId55"/>
    <sheet name="BS 1Q22" sheetId="30" r:id="rId56"/>
    <sheet name="BS 2Q22" sheetId="31" r:id="rId57"/>
    <sheet name="CF&gt;&gt;" sheetId="11" r:id="rId58"/>
    <sheet name="CF FY18-20" sheetId="32" r:id="rId59"/>
    <sheet name="CF 1Q21" sheetId="33" r:id="rId60"/>
    <sheet name="CF 2Q21" sheetId="34" r:id="rId61"/>
    <sheet name="CF 3Q21" sheetId="35" r:id="rId62"/>
    <sheet name="CF FY21" sheetId="36" r:id="rId63"/>
    <sheet name="CF 1Q22" sheetId="37" r:id="rId64"/>
    <sheet name="CF 2Q22" sheetId="38" r:id="rId65"/>
    <sheet name="Other Notes" sheetId="75" r:id="rId66"/>
    <sheet name="Customer Analysis" sheetId="81" r:id="rId67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8" l="1"/>
  <c r="C8" i="73"/>
  <c r="S39" i="40"/>
  <c r="U74" i="83"/>
  <c r="F15" i="84"/>
  <c r="F17" i="84" s="1"/>
  <c r="T27" i="83"/>
  <c r="U27" i="83" s="1"/>
  <c r="V27" i="83" s="1"/>
  <c r="W27" i="83" s="1"/>
  <c r="T24" i="83"/>
  <c r="U24" i="83" s="1"/>
  <c r="V24" i="83" s="1"/>
  <c r="W24" i="83" s="1"/>
  <c r="N78" i="83"/>
  <c r="O78" i="83" s="1"/>
  <c r="P78" i="83" s="1"/>
  <c r="Q78" i="83" s="1"/>
  <c r="R78" i="83" s="1"/>
  <c r="S78" i="83" s="1"/>
  <c r="T78" i="83" s="1"/>
  <c r="U78" i="83" s="1"/>
  <c r="V78" i="83" s="1"/>
  <c r="W78" i="83" s="1"/>
  <c r="Q73" i="83"/>
  <c r="Q76" i="83" s="1"/>
  <c r="P74" i="83"/>
  <c r="O74" i="83" s="1"/>
  <c r="N74" i="83" s="1"/>
  <c r="M74" i="83" s="1"/>
  <c r="M73" i="83" s="1"/>
  <c r="P3" i="83"/>
  <c r="Q3" i="83" s="1"/>
  <c r="R3" i="83" s="1"/>
  <c r="S3" i="83" s="1"/>
  <c r="T3" i="83" s="1"/>
  <c r="U3" i="83" s="1"/>
  <c r="V3" i="83" s="1"/>
  <c r="W3" i="83" s="1"/>
  <c r="I68" i="83"/>
  <c r="H68" i="83"/>
  <c r="I64" i="83"/>
  <c r="J64" i="83"/>
  <c r="K64" i="83"/>
  <c r="L64" i="83"/>
  <c r="H64" i="83"/>
  <c r="S64" i="83" s="1"/>
  <c r="I60" i="83"/>
  <c r="I62" i="83" s="1"/>
  <c r="J60" i="83"/>
  <c r="J62" i="83" s="1"/>
  <c r="K60" i="83"/>
  <c r="K62" i="83" s="1"/>
  <c r="L60" i="83"/>
  <c r="L62" i="83" s="1"/>
  <c r="H58" i="83"/>
  <c r="H60" i="83" s="1"/>
  <c r="H62" i="83" s="1"/>
  <c r="J23" i="83"/>
  <c r="K23" i="83" s="1"/>
  <c r="L23" i="83" s="1"/>
  <c r="L68" i="83" s="1"/>
  <c r="L26" i="83"/>
  <c r="M26" i="83" s="1"/>
  <c r="N26" i="83" s="1"/>
  <c r="N37" i="83" s="1"/>
  <c r="O2" i="83"/>
  <c r="P2" i="83" s="1"/>
  <c r="Q2" i="83" s="1"/>
  <c r="R2" i="83" s="1"/>
  <c r="S2" i="83" s="1"/>
  <c r="T2" i="83" s="1"/>
  <c r="U2" i="83" s="1"/>
  <c r="V2" i="83" s="1"/>
  <c r="W2" i="83" s="1"/>
  <c r="J15" i="83"/>
  <c r="K15" i="83"/>
  <c r="L15" i="83"/>
  <c r="I15" i="83"/>
  <c r="K11" i="83"/>
  <c r="L11" i="83"/>
  <c r="N11" i="83"/>
  <c r="G9" i="83"/>
  <c r="G8" i="83"/>
  <c r="G11" i="83"/>
  <c r="G14" i="83" s="1"/>
  <c r="E11" i="83"/>
  <c r="E17" i="83" s="1"/>
  <c r="F11" i="83"/>
  <c r="F14" i="83" s="1"/>
  <c r="D11" i="83"/>
  <c r="D14" i="83" s="1"/>
  <c r="J11" i="83"/>
  <c r="I11" i="83"/>
  <c r="I17" i="83" s="1"/>
  <c r="M15" i="83"/>
  <c r="H11" i="83"/>
  <c r="H17" i="83" s="1"/>
  <c r="H35" i="83" s="1"/>
  <c r="H48" i="83"/>
  <c r="H50" i="83"/>
  <c r="AE98" i="83"/>
  <c r="M46" i="83" s="1"/>
  <c r="N46" i="83" s="1"/>
  <c r="O46" i="83" s="1"/>
  <c r="P46" i="83" s="1"/>
  <c r="Q46" i="83" s="1"/>
  <c r="R46" i="83" s="1"/>
  <c r="S46" i="83" s="1"/>
  <c r="T46" i="83" s="1"/>
  <c r="U46" i="83" s="1"/>
  <c r="V46" i="83" s="1"/>
  <c r="W46" i="83" s="1"/>
  <c r="H36" i="83" l="1"/>
  <c r="J66" i="83"/>
  <c r="H37" i="83"/>
  <c r="Q80" i="83"/>
  <c r="J29" i="83"/>
  <c r="J30" i="83" s="1"/>
  <c r="L66" i="83"/>
  <c r="L69" i="83" s="1"/>
  <c r="I66" i="83"/>
  <c r="K66" i="83"/>
  <c r="N73" i="83"/>
  <c r="M76" i="83"/>
  <c r="M80" i="83" s="1"/>
  <c r="U64" i="83"/>
  <c r="W64" i="83"/>
  <c r="M64" i="83"/>
  <c r="N64" i="83"/>
  <c r="T64" i="83"/>
  <c r="V64" i="83"/>
  <c r="O64" i="83"/>
  <c r="M82" i="83"/>
  <c r="N82" i="83"/>
  <c r="J68" i="83"/>
  <c r="J69" i="83" s="1"/>
  <c r="K68" i="83"/>
  <c r="R73" i="83"/>
  <c r="I69" i="83"/>
  <c r="M58" i="83"/>
  <c r="H66" i="83"/>
  <c r="Q64" i="83"/>
  <c r="R64" i="83"/>
  <c r="P64" i="83"/>
  <c r="M23" i="83"/>
  <c r="L29" i="83"/>
  <c r="K29" i="83"/>
  <c r="K30" i="83" s="1"/>
  <c r="I14" i="83"/>
  <c r="I20" i="83" s="1"/>
  <c r="E14" i="83"/>
  <c r="E20" i="83" s="1"/>
  <c r="O15" i="83"/>
  <c r="D17" i="83"/>
  <c r="D20" i="83" s="1"/>
  <c r="F17" i="83"/>
  <c r="F20" i="83" s="1"/>
  <c r="M11" i="83"/>
  <c r="G17" i="83"/>
  <c r="G20" i="83" s="1"/>
  <c r="H14" i="83"/>
  <c r="H34" i="83" s="1"/>
  <c r="N15" i="83"/>
  <c r="H51" i="83"/>
  <c r="F7" i="84" s="1"/>
  <c r="M50" i="83"/>
  <c r="N50" i="83" s="1"/>
  <c r="H69" i="83" l="1"/>
  <c r="F11" i="84"/>
  <c r="F13" i="84" s="1"/>
  <c r="M36" i="83"/>
  <c r="M12" i="83"/>
  <c r="M37" i="83"/>
  <c r="K69" i="83"/>
  <c r="J17" i="83"/>
  <c r="J14" i="83"/>
  <c r="N12" i="83"/>
  <c r="M83" i="83"/>
  <c r="L14" i="83"/>
  <c r="L30" i="83"/>
  <c r="O73" i="83"/>
  <c r="N76" i="83"/>
  <c r="N80" i="83" s="1"/>
  <c r="N83" i="83" s="1"/>
  <c r="M68" i="83"/>
  <c r="S73" i="83"/>
  <c r="R76" i="83"/>
  <c r="R80" i="83" s="1"/>
  <c r="N58" i="83"/>
  <c r="K17" i="83"/>
  <c r="K14" i="83"/>
  <c r="L17" i="83"/>
  <c r="M29" i="83"/>
  <c r="M30" i="83" s="1"/>
  <c r="N23" i="83"/>
  <c r="N36" i="83" s="1"/>
  <c r="H20" i="83"/>
  <c r="H33" i="83" s="1"/>
  <c r="H53" i="83"/>
  <c r="P15" i="83"/>
  <c r="O50" i="83"/>
  <c r="H54" i="83" l="1"/>
  <c r="F8" i="84"/>
  <c r="F9" i="84" s="1"/>
  <c r="L20" i="83"/>
  <c r="J20" i="83"/>
  <c r="O76" i="83"/>
  <c r="O80" i="83" s="1"/>
  <c r="P76" i="83"/>
  <c r="P80" i="83" s="1"/>
  <c r="G15" i="84" s="1"/>
  <c r="N68" i="83"/>
  <c r="T73" i="83"/>
  <c r="S76" i="83"/>
  <c r="S80" i="83" s="1"/>
  <c r="O58" i="83"/>
  <c r="K20" i="83"/>
  <c r="M17" i="83"/>
  <c r="M35" i="83" s="1"/>
  <c r="M14" i="83"/>
  <c r="N29" i="83"/>
  <c r="N30" i="83" s="1"/>
  <c r="Q15" i="83"/>
  <c r="R18" i="83"/>
  <c r="P50" i="83"/>
  <c r="M53" i="83" l="1"/>
  <c r="M34" i="83"/>
  <c r="U73" i="83"/>
  <c r="T76" i="83"/>
  <c r="T80" i="83" s="1"/>
  <c r="P58" i="83"/>
  <c r="M20" i="83"/>
  <c r="N17" i="83"/>
  <c r="N35" i="83" s="1"/>
  <c r="N14" i="83"/>
  <c r="N34" i="83" s="1"/>
  <c r="S18" i="83"/>
  <c r="R15" i="83"/>
  <c r="Q50" i="83"/>
  <c r="M21" i="83" l="1"/>
  <c r="M33" i="83"/>
  <c r="V73" i="83"/>
  <c r="U76" i="83"/>
  <c r="U80" i="83" s="1"/>
  <c r="H15" i="84" s="1"/>
  <c r="Q58" i="83"/>
  <c r="N53" i="83"/>
  <c r="N20" i="83"/>
  <c r="T18" i="83"/>
  <c r="S15" i="83"/>
  <c r="R50" i="83"/>
  <c r="N21" i="83" l="1"/>
  <c r="N33" i="83"/>
  <c r="W73" i="83"/>
  <c r="V76" i="83"/>
  <c r="V80" i="83" s="1"/>
  <c r="R58" i="83"/>
  <c r="T15" i="83"/>
  <c r="U18" i="83"/>
  <c r="S50" i="83"/>
  <c r="W76" i="83" l="1"/>
  <c r="W80" i="83" s="1"/>
  <c r="Y73" i="83"/>
  <c r="S58" i="83"/>
  <c r="U15" i="83"/>
  <c r="V18" i="83"/>
  <c r="T50" i="83"/>
  <c r="T58" i="83" l="1"/>
  <c r="W18" i="83"/>
  <c r="W15" i="83" s="1"/>
  <c r="V15" i="83"/>
  <c r="U50" i="83"/>
  <c r="U58" i="83" l="1"/>
  <c r="V50" i="83"/>
  <c r="V58" i="83" l="1"/>
  <c r="W50" i="83"/>
  <c r="W58" i="83" l="1"/>
  <c r="G121" i="73" l="1"/>
  <c r="AA13" i="23"/>
  <c r="Y23" i="23"/>
  <c r="AA22" i="23"/>
  <c r="L13" i="23"/>
  <c r="M13" i="23" s="1"/>
  <c r="K13" i="23"/>
  <c r="N20" i="81"/>
  <c r="M20" i="81"/>
  <c r="K20" i="81"/>
  <c r="J20" i="81"/>
  <c r="I20" i="81"/>
  <c r="G20" i="81"/>
  <c r="F20" i="81"/>
  <c r="E20" i="81"/>
  <c r="I15" i="81"/>
  <c r="M15" i="81" s="1"/>
  <c r="M11" i="81"/>
  <c r="J11" i="81"/>
  <c r="G11" i="81"/>
  <c r="T11" i="81"/>
  <c r="X11" i="81"/>
  <c r="AB11" i="81"/>
  <c r="AJ11" i="81"/>
  <c r="AN9" i="81"/>
  <c r="C49" i="38"/>
  <c r="B49" i="38"/>
  <c r="C48" i="38"/>
  <c r="B48" i="38"/>
  <c r="C47" i="38"/>
  <c r="B47" i="38"/>
  <c r="C44" i="38"/>
  <c r="B44" i="38"/>
  <c r="C43" i="38"/>
  <c r="B43" i="38"/>
  <c r="C42" i="38"/>
  <c r="B42" i="38"/>
  <c r="C41" i="37"/>
  <c r="B41" i="37"/>
  <c r="C40" i="37"/>
  <c r="B40" i="37"/>
  <c r="C39" i="37"/>
  <c r="B39" i="37"/>
  <c r="C55" i="36"/>
  <c r="B55" i="36"/>
  <c r="C54" i="36"/>
  <c r="B54" i="36"/>
  <c r="C53" i="36"/>
  <c r="B53" i="36"/>
  <c r="C50" i="36"/>
  <c r="B50" i="36"/>
  <c r="C49" i="36"/>
  <c r="B49" i="36"/>
  <c r="C48" i="36"/>
  <c r="B48" i="36"/>
  <c r="D42" i="36"/>
  <c r="C42" i="36"/>
  <c r="B42" i="36"/>
  <c r="C41" i="36"/>
  <c r="B41" i="36"/>
  <c r="C50" i="35"/>
  <c r="B50" i="35"/>
  <c r="C49" i="35"/>
  <c r="B49" i="35"/>
  <c r="C48" i="35"/>
  <c r="B48" i="35"/>
  <c r="C45" i="35"/>
  <c r="B45" i="35"/>
  <c r="C44" i="35"/>
  <c r="B44" i="35"/>
  <c r="C43" i="35"/>
  <c r="B43" i="35"/>
  <c r="B41" i="35"/>
  <c r="C49" i="34"/>
  <c r="B49" i="34"/>
  <c r="C48" i="34"/>
  <c r="B48" i="34"/>
  <c r="C47" i="34"/>
  <c r="B47" i="34"/>
  <c r="C44" i="34"/>
  <c r="B44" i="34"/>
  <c r="C43" i="34"/>
  <c r="B43" i="34"/>
  <c r="C42" i="34"/>
  <c r="B42" i="34"/>
  <c r="B39" i="34"/>
  <c r="C41" i="33"/>
  <c r="B41" i="33"/>
  <c r="C40" i="33"/>
  <c r="B40" i="33"/>
  <c r="C39" i="33"/>
  <c r="B39" i="33"/>
  <c r="D44" i="32"/>
  <c r="C44" i="32"/>
  <c r="B44" i="32"/>
  <c r="D43" i="32"/>
  <c r="C43" i="32"/>
  <c r="B43" i="32"/>
  <c r="G30" i="62"/>
  <c r="G29" i="62"/>
  <c r="G28" i="62"/>
  <c r="D26" i="62"/>
  <c r="G25" i="62"/>
  <c r="D25" i="62"/>
  <c r="L23" i="62"/>
  <c r="F23" i="62"/>
  <c r="L22" i="62"/>
  <c r="F22" i="62"/>
  <c r="L19" i="62"/>
  <c r="G18" i="62"/>
  <c r="F18" i="62"/>
  <c r="L17" i="62"/>
  <c r="G17" i="62"/>
  <c r="F17" i="62"/>
  <c r="L16" i="62"/>
  <c r="G16" i="62"/>
  <c r="F16" i="62"/>
  <c r="L15" i="62"/>
  <c r="G15" i="62"/>
  <c r="F15" i="62"/>
  <c r="L14" i="62"/>
  <c r="G14" i="62"/>
  <c r="F14" i="62"/>
  <c r="D14" i="62"/>
  <c r="G13" i="62"/>
  <c r="F13" i="62"/>
  <c r="L12" i="62"/>
  <c r="I12" i="62"/>
  <c r="G12" i="62"/>
  <c r="F12" i="62"/>
  <c r="C7" i="62"/>
  <c r="G30" i="63"/>
  <c r="G29" i="63"/>
  <c r="G28" i="63"/>
  <c r="D26" i="63"/>
  <c r="G25" i="63"/>
  <c r="D25" i="63"/>
  <c r="L23" i="63"/>
  <c r="F23" i="63"/>
  <c r="L22" i="63"/>
  <c r="F22" i="63"/>
  <c r="G18" i="63"/>
  <c r="F18" i="63"/>
  <c r="L17" i="63"/>
  <c r="G17" i="63"/>
  <c r="F17" i="63"/>
  <c r="L16" i="63"/>
  <c r="G16" i="63"/>
  <c r="F16" i="63"/>
  <c r="L15" i="63"/>
  <c r="G15" i="63"/>
  <c r="F15" i="63"/>
  <c r="L14" i="63"/>
  <c r="G14" i="63"/>
  <c r="F14" i="63"/>
  <c r="G13" i="63"/>
  <c r="F13" i="63"/>
  <c r="L12" i="63"/>
  <c r="I12" i="63"/>
  <c r="G12" i="63"/>
  <c r="F12" i="63"/>
  <c r="C7" i="63"/>
  <c r="G30" i="60"/>
  <c r="G29" i="60"/>
  <c r="G28" i="60"/>
  <c r="D26" i="60"/>
  <c r="G25" i="60"/>
  <c r="D25" i="60"/>
  <c r="L23" i="60"/>
  <c r="F23" i="60"/>
  <c r="L22" i="60"/>
  <c r="F22" i="60"/>
  <c r="L19" i="60"/>
  <c r="G18" i="60"/>
  <c r="F18" i="60"/>
  <c r="L17" i="60"/>
  <c r="G17" i="60"/>
  <c r="F17" i="60"/>
  <c r="L16" i="60"/>
  <c r="G16" i="60"/>
  <c r="F16" i="60"/>
  <c r="L15" i="60"/>
  <c r="G15" i="60"/>
  <c r="F15" i="60"/>
  <c r="L14" i="60"/>
  <c r="G14" i="60"/>
  <c r="F14" i="60"/>
  <c r="G13" i="60"/>
  <c r="F13" i="60"/>
  <c r="L12" i="60"/>
  <c r="I12" i="60"/>
  <c r="G12" i="60"/>
  <c r="F12" i="60"/>
  <c r="C7" i="60"/>
  <c r="G30" i="58"/>
  <c r="G29" i="58"/>
  <c r="G28" i="58"/>
  <c r="D26" i="58"/>
  <c r="G25" i="58"/>
  <c r="D25" i="58"/>
  <c r="L23" i="58"/>
  <c r="F23" i="58"/>
  <c r="L22" i="58"/>
  <c r="F22" i="58"/>
  <c r="G18" i="58"/>
  <c r="F18" i="58"/>
  <c r="L17" i="58"/>
  <c r="G17" i="58"/>
  <c r="F17" i="58"/>
  <c r="L16" i="58"/>
  <c r="G16" i="58"/>
  <c r="F16" i="58"/>
  <c r="L15" i="58"/>
  <c r="G15" i="58"/>
  <c r="F15" i="58"/>
  <c r="L14" i="58"/>
  <c r="G14" i="58"/>
  <c r="F14" i="58"/>
  <c r="G13" i="58"/>
  <c r="F13" i="58"/>
  <c r="D13" i="58"/>
  <c r="L12" i="58"/>
  <c r="I12" i="58"/>
  <c r="G12" i="58"/>
  <c r="F12" i="58"/>
  <c r="C7" i="58"/>
  <c r="G30" i="56"/>
  <c r="G29" i="56"/>
  <c r="G28" i="56"/>
  <c r="D26" i="56"/>
  <c r="G25" i="56"/>
  <c r="D25" i="56"/>
  <c r="L23" i="56"/>
  <c r="F23" i="56"/>
  <c r="F22" i="56"/>
  <c r="G18" i="56"/>
  <c r="F18" i="56"/>
  <c r="L17" i="56"/>
  <c r="G17" i="56"/>
  <c r="F17" i="56"/>
  <c r="L16" i="56"/>
  <c r="G16" i="56"/>
  <c r="F16" i="56"/>
  <c r="L15" i="56"/>
  <c r="G15" i="56"/>
  <c r="F15" i="56"/>
  <c r="L14" i="56"/>
  <c r="G14" i="56"/>
  <c r="F14" i="56"/>
  <c r="G13" i="56"/>
  <c r="F13" i="56"/>
  <c r="L12" i="56"/>
  <c r="I12" i="56"/>
  <c r="G12" i="56"/>
  <c r="F12" i="56"/>
  <c r="C7" i="56"/>
  <c r="G30" i="59"/>
  <c r="G29" i="59"/>
  <c r="G28" i="59"/>
  <c r="D26" i="59"/>
  <c r="G25" i="59"/>
  <c r="D25" i="59"/>
  <c r="L23" i="59"/>
  <c r="F23" i="59"/>
  <c r="L22" i="59"/>
  <c r="F22" i="59"/>
  <c r="G18" i="59"/>
  <c r="F18" i="59"/>
  <c r="L17" i="59"/>
  <c r="G17" i="59"/>
  <c r="F17" i="59"/>
  <c r="L16" i="59"/>
  <c r="G16" i="59"/>
  <c r="F16" i="59"/>
  <c r="L15" i="59"/>
  <c r="G15" i="59"/>
  <c r="F15" i="59"/>
  <c r="L14" i="59"/>
  <c r="G14" i="59"/>
  <c r="F14" i="59"/>
  <c r="G13" i="59"/>
  <c r="F13" i="59"/>
  <c r="L12" i="59"/>
  <c r="I12" i="59"/>
  <c r="G12" i="59"/>
  <c r="F12" i="59"/>
  <c r="C7" i="59"/>
  <c r="G26" i="57"/>
  <c r="G25" i="57"/>
  <c r="G24" i="57"/>
  <c r="L22" i="57"/>
  <c r="L21" i="57"/>
  <c r="L16" i="57"/>
  <c r="D16" i="57"/>
  <c r="L15" i="57"/>
  <c r="G15" i="57"/>
  <c r="D15" i="57"/>
  <c r="L14" i="57"/>
  <c r="G14" i="57"/>
  <c r="F14" i="57"/>
  <c r="G13" i="57"/>
  <c r="F13" i="57"/>
  <c r="L12" i="57"/>
  <c r="I12" i="57"/>
  <c r="G12" i="57"/>
  <c r="F12" i="57"/>
  <c r="C7" i="57"/>
  <c r="G30" i="53"/>
  <c r="G29" i="53"/>
  <c r="G28" i="53"/>
  <c r="D26" i="53"/>
  <c r="G25" i="53"/>
  <c r="D25" i="53"/>
  <c r="L23" i="53"/>
  <c r="F23" i="53"/>
  <c r="L22" i="53"/>
  <c r="F22" i="53"/>
  <c r="G18" i="53"/>
  <c r="F18" i="53"/>
  <c r="L17" i="53"/>
  <c r="G17" i="53"/>
  <c r="F17" i="53"/>
  <c r="L16" i="53"/>
  <c r="G16" i="53"/>
  <c r="F16" i="53"/>
  <c r="L15" i="53"/>
  <c r="G15" i="53"/>
  <c r="F15" i="53"/>
  <c r="L14" i="53"/>
  <c r="G14" i="53"/>
  <c r="F14" i="53"/>
  <c r="G13" i="53"/>
  <c r="F13" i="53"/>
  <c r="L12" i="53"/>
  <c r="I12" i="53"/>
  <c r="G12" i="53"/>
  <c r="F12" i="53"/>
  <c r="C7" i="53"/>
  <c r="G30" i="55"/>
  <c r="G29" i="55"/>
  <c r="G28" i="55"/>
  <c r="D26" i="55"/>
  <c r="G25" i="55"/>
  <c r="D25" i="55"/>
  <c r="L23" i="55"/>
  <c r="F23" i="55"/>
  <c r="F22" i="55"/>
  <c r="G18" i="55"/>
  <c r="F18" i="55"/>
  <c r="G17" i="55"/>
  <c r="F17" i="55"/>
  <c r="L16" i="55"/>
  <c r="G16" i="55"/>
  <c r="F16" i="55"/>
  <c r="L15" i="55"/>
  <c r="G15" i="55"/>
  <c r="F15" i="55"/>
  <c r="L14" i="55"/>
  <c r="G14" i="55"/>
  <c r="F14" i="55"/>
  <c r="G13" i="55"/>
  <c r="F13" i="55"/>
  <c r="L12" i="55"/>
  <c r="I12" i="55"/>
  <c r="G12" i="55"/>
  <c r="F12" i="55"/>
  <c r="C7" i="55"/>
  <c r="G30" i="54"/>
  <c r="G29" i="54"/>
  <c r="G28" i="54"/>
  <c r="D26" i="54"/>
  <c r="G25" i="54"/>
  <c r="D25" i="54"/>
  <c r="L23" i="54"/>
  <c r="F23" i="54"/>
  <c r="F22" i="54"/>
  <c r="L19" i="54"/>
  <c r="G18" i="54"/>
  <c r="F18" i="54"/>
  <c r="L17" i="54"/>
  <c r="G17" i="54"/>
  <c r="F17" i="54"/>
  <c r="L16" i="54"/>
  <c r="G16" i="54"/>
  <c r="F16" i="54"/>
  <c r="L15" i="54"/>
  <c r="G15" i="54"/>
  <c r="F15" i="54"/>
  <c r="L14" i="54"/>
  <c r="G14" i="54"/>
  <c r="F14" i="54"/>
  <c r="G13" i="54"/>
  <c r="F13" i="54"/>
  <c r="L12" i="54"/>
  <c r="I12" i="54"/>
  <c r="G12" i="54"/>
  <c r="F12" i="54"/>
  <c r="C7" i="54"/>
  <c r="G30" i="52"/>
  <c r="G29" i="52"/>
  <c r="G28" i="52"/>
  <c r="D26" i="52"/>
  <c r="G25" i="52"/>
  <c r="D25" i="52"/>
  <c r="L23" i="52"/>
  <c r="F23" i="52"/>
  <c r="D23" i="52"/>
  <c r="L22" i="52"/>
  <c r="F22" i="52"/>
  <c r="D22" i="52"/>
  <c r="L18" i="52"/>
  <c r="G18" i="52"/>
  <c r="F18" i="52"/>
  <c r="L17" i="52"/>
  <c r="G17" i="52"/>
  <c r="F17" i="52"/>
  <c r="L16" i="52"/>
  <c r="G16" i="52"/>
  <c r="F16" i="52"/>
  <c r="L15" i="52"/>
  <c r="G15" i="52"/>
  <c r="F15" i="52"/>
  <c r="L14" i="52"/>
  <c r="G14" i="52"/>
  <c r="F14" i="52"/>
  <c r="G13" i="52"/>
  <c r="F13" i="52"/>
  <c r="L12" i="52"/>
  <c r="I12" i="52"/>
  <c r="G12" i="52"/>
  <c r="F12" i="52"/>
  <c r="C7" i="52"/>
  <c r="L22" i="50"/>
  <c r="G20" i="50"/>
  <c r="G19" i="50"/>
  <c r="G18" i="50"/>
  <c r="L16" i="50"/>
  <c r="D16" i="50"/>
  <c r="L15" i="50"/>
  <c r="G15" i="50"/>
  <c r="D15" i="50"/>
  <c r="L14" i="50"/>
  <c r="G13" i="50"/>
  <c r="L12" i="50"/>
  <c r="I12" i="50"/>
  <c r="G12" i="50"/>
  <c r="F12" i="50"/>
  <c r="C7" i="50"/>
  <c r="L22" i="51"/>
  <c r="G20" i="51"/>
  <c r="G19" i="51"/>
  <c r="G18" i="51"/>
  <c r="L17" i="51"/>
  <c r="L16" i="51"/>
  <c r="D16" i="51"/>
  <c r="L15" i="51"/>
  <c r="G15" i="51"/>
  <c r="D15" i="51"/>
  <c r="L14" i="51"/>
  <c r="G13" i="51"/>
  <c r="L12" i="51"/>
  <c r="I12" i="51"/>
  <c r="G12" i="51"/>
  <c r="F12" i="51"/>
  <c r="C7" i="51"/>
  <c r="L22" i="49"/>
  <c r="G20" i="49"/>
  <c r="G19" i="49"/>
  <c r="G18" i="49"/>
  <c r="L16" i="49"/>
  <c r="D16" i="49"/>
  <c r="L15" i="49"/>
  <c r="G15" i="49"/>
  <c r="D15" i="49"/>
  <c r="L14" i="49"/>
  <c r="G13" i="49"/>
  <c r="L12" i="49"/>
  <c r="I12" i="49"/>
  <c r="G12" i="49"/>
  <c r="F12" i="49"/>
  <c r="C7" i="49"/>
  <c r="K74" i="76"/>
  <c r="K68" i="76"/>
  <c r="H63" i="76"/>
  <c r="G63" i="76"/>
  <c r="F63" i="76"/>
  <c r="E63" i="76"/>
  <c r="D63" i="76"/>
  <c r="C63" i="76"/>
  <c r="E62" i="76"/>
  <c r="D62" i="76"/>
  <c r="C62" i="76"/>
  <c r="H60" i="76"/>
  <c r="G60" i="76"/>
  <c r="F60" i="76"/>
  <c r="E60" i="76"/>
  <c r="D60" i="76"/>
  <c r="C60" i="76"/>
  <c r="H57" i="76"/>
  <c r="G57" i="76"/>
  <c r="F57" i="76"/>
  <c r="E57" i="76"/>
  <c r="D57" i="76"/>
  <c r="AS26" i="76"/>
  <c r="AR26" i="76"/>
  <c r="AQ26" i="76"/>
  <c r="AP26" i="76"/>
  <c r="AO26" i="76"/>
  <c r="AN26" i="76"/>
  <c r="AH26" i="76"/>
  <c r="AG26" i="76"/>
  <c r="AF26" i="76"/>
  <c r="AE26" i="76"/>
  <c r="AD26" i="76"/>
  <c r="AC26" i="76"/>
  <c r="Z26" i="76"/>
  <c r="Y26" i="76"/>
  <c r="X26" i="76"/>
  <c r="W26" i="76"/>
  <c r="V26" i="76"/>
  <c r="U26" i="76"/>
  <c r="N26" i="76"/>
  <c r="M26" i="76"/>
  <c r="L26" i="76"/>
  <c r="K26" i="76"/>
  <c r="J26" i="76"/>
  <c r="I26" i="76"/>
  <c r="H26" i="76"/>
  <c r="G26" i="76"/>
  <c r="F26" i="76"/>
  <c r="E26" i="76"/>
  <c r="C26" i="76"/>
  <c r="B26" i="76"/>
  <c r="AS25" i="76"/>
  <c r="AR25" i="76"/>
  <c r="AQ25" i="76"/>
  <c r="AP25" i="76"/>
  <c r="AO25" i="76"/>
  <c r="AN25" i="76"/>
  <c r="AH25" i="76"/>
  <c r="AG25" i="76"/>
  <c r="AF25" i="76"/>
  <c r="AE25" i="76"/>
  <c r="AD25" i="76"/>
  <c r="AC25" i="76"/>
  <c r="Z25" i="76"/>
  <c r="Y25" i="76"/>
  <c r="X25" i="76"/>
  <c r="W25" i="76"/>
  <c r="V25" i="76"/>
  <c r="U25" i="76"/>
  <c r="N25" i="76"/>
  <c r="M25" i="76"/>
  <c r="L25" i="76"/>
  <c r="K25" i="76"/>
  <c r="J25" i="76"/>
  <c r="I25" i="76"/>
  <c r="H25" i="76"/>
  <c r="G25" i="76"/>
  <c r="F25" i="76"/>
  <c r="E25" i="76"/>
  <c r="C25" i="76"/>
  <c r="B25" i="76"/>
  <c r="AS24" i="76"/>
  <c r="AR24" i="76"/>
  <c r="AQ24" i="76"/>
  <c r="AP24" i="76"/>
  <c r="AO24" i="76"/>
  <c r="AN24" i="76"/>
  <c r="AH24" i="76"/>
  <c r="AG24" i="76"/>
  <c r="AF24" i="76"/>
  <c r="AE24" i="76"/>
  <c r="AD24" i="76"/>
  <c r="AC24" i="76"/>
  <c r="Z24" i="76"/>
  <c r="Y24" i="76"/>
  <c r="X24" i="76"/>
  <c r="W24" i="76"/>
  <c r="V24" i="76"/>
  <c r="U24" i="76"/>
  <c r="P24" i="76"/>
  <c r="N24" i="76"/>
  <c r="M24" i="76"/>
  <c r="L24" i="76"/>
  <c r="K24" i="76"/>
  <c r="J24" i="76"/>
  <c r="I24" i="76"/>
  <c r="H24" i="76"/>
  <c r="G24" i="76"/>
  <c r="F24" i="76"/>
  <c r="E24" i="76"/>
  <c r="B24" i="76"/>
  <c r="AS22" i="76"/>
  <c r="AR22" i="76"/>
  <c r="AQ22" i="76"/>
  <c r="AP22" i="76"/>
  <c r="AO22" i="76"/>
  <c r="AN22" i="76"/>
  <c r="AH22" i="76"/>
  <c r="AG22" i="76"/>
  <c r="AF22" i="76"/>
  <c r="AE22" i="76"/>
  <c r="AD22" i="76"/>
  <c r="AC22" i="76"/>
  <c r="Z22" i="76"/>
  <c r="Y22" i="76"/>
  <c r="X22" i="76"/>
  <c r="W22" i="76"/>
  <c r="V22" i="76"/>
  <c r="U22" i="76"/>
  <c r="N22" i="76"/>
  <c r="M22" i="76"/>
  <c r="L22" i="76"/>
  <c r="K22" i="76"/>
  <c r="J22" i="76"/>
  <c r="I22" i="76"/>
  <c r="H22" i="76"/>
  <c r="G22" i="76"/>
  <c r="F22" i="76"/>
  <c r="E22" i="76"/>
  <c r="C22" i="76"/>
  <c r="B22" i="76"/>
  <c r="AS21" i="76"/>
  <c r="AR21" i="76"/>
  <c r="AQ21" i="76"/>
  <c r="AP21" i="76"/>
  <c r="AO21" i="76"/>
  <c r="AN21" i="76"/>
  <c r="AH21" i="76"/>
  <c r="AG21" i="76"/>
  <c r="AF21" i="76"/>
  <c r="AE21" i="76"/>
  <c r="AD21" i="76"/>
  <c r="AC21" i="76"/>
  <c r="Z21" i="76"/>
  <c r="Y21" i="76"/>
  <c r="X21" i="76"/>
  <c r="W21" i="76"/>
  <c r="V21" i="76"/>
  <c r="U21" i="76"/>
  <c r="N21" i="76"/>
  <c r="M21" i="76"/>
  <c r="L21" i="76"/>
  <c r="K21" i="76"/>
  <c r="J21" i="76"/>
  <c r="I21" i="76"/>
  <c r="H21" i="76"/>
  <c r="G21" i="76"/>
  <c r="F21" i="76"/>
  <c r="E21" i="76"/>
  <c r="C21" i="76"/>
  <c r="B21" i="76"/>
  <c r="AS20" i="76"/>
  <c r="AR20" i="76"/>
  <c r="AQ20" i="76"/>
  <c r="AP20" i="76"/>
  <c r="AO20" i="76"/>
  <c r="AN20" i="76"/>
  <c r="AH20" i="76"/>
  <c r="AG20" i="76"/>
  <c r="AF20" i="76"/>
  <c r="AE20" i="76"/>
  <c r="AD20" i="76"/>
  <c r="AC20" i="76"/>
  <c r="Z20" i="76"/>
  <c r="Y20" i="76"/>
  <c r="X20" i="76"/>
  <c r="W20" i="76"/>
  <c r="V20" i="76"/>
  <c r="U20" i="76"/>
  <c r="N20" i="76"/>
  <c r="M20" i="76"/>
  <c r="L20" i="76"/>
  <c r="K20" i="76"/>
  <c r="J20" i="76"/>
  <c r="I20" i="76"/>
  <c r="H20" i="76"/>
  <c r="G20" i="76"/>
  <c r="F20" i="76"/>
  <c r="E20" i="76"/>
  <c r="C20" i="76"/>
  <c r="B20" i="76"/>
  <c r="AS19" i="76"/>
  <c r="AR19" i="76"/>
  <c r="AQ19" i="76"/>
  <c r="AP19" i="76"/>
  <c r="AO19" i="76"/>
  <c r="AN19" i="76"/>
  <c r="AH19" i="76"/>
  <c r="AG19" i="76"/>
  <c r="AF19" i="76"/>
  <c r="AE19" i="76"/>
  <c r="AD19" i="76"/>
  <c r="AC19" i="76"/>
  <c r="Z19" i="76"/>
  <c r="Y19" i="76"/>
  <c r="X19" i="76"/>
  <c r="W19" i="76"/>
  <c r="V19" i="76"/>
  <c r="U19" i="76"/>
  <c r="P19" i="76"/>
  <c r="N19" i="76"/>
  <c r="M19" i="76"/>
  <c r="L19" i="76"/>
  <c r="K19" i="76"/>
  <c r="J19" i="76"/>
  <c r="I19" i="76"/>
  <c r="H19" i="76"/>
  <c r="G19" i="76"/>
  <c r="F19" i="76"/>
  <c r="E19" i="76"/>
  <c r="B19" i="76"/>
  <c r="AS17" i="76"/>
  <c r="AR17" i="76"/>
  <c r="AQ17" i="76"/>
  <c r="AP17" i="76"/>
  <c r="AO17" i="76"/>
  <c r="AN17" i="76"/>
  <c r="AH17" i="76"/>
  <c r="AG17" i="76"/>
  <c r="AF17" i="76"/>
  <c r="AE17" i="76"/>
  <c r="AD17" i="76"/>
  <c r="AC17" i="76"/>
  <c r="Z17" i="76"/>
  <c r="Y17" i="76"/>
  <c r="X17" i="76"/>
  <c r="W17" i="76"/>
  <c r="V17" i="76"/>
  <c r="U17" i="76"/>
  <c r="N17" i="76"/>
  <c r="M17" i="76"/>
  <c r="L17" i="76"/>
  <c r="K17" i="76"/>
  <c r="J17" i="76"/>
  <c r="I17" i="76"/>
  <c r="H17" i="76"/>
  <c r="G17" i="76"/>
  <c r="F17" i="76"/>
  <c r="E17" i="76"/>
  <c r="C17" i="76"/>
  <c r="B17" i="76"/>
  <c r="AS16" i="76"/>
  <c r="AR16" i="76"/>
  <c r="AQ16" i="76"/>
  <c r="AP16" i="76"/>
  <c r="AO16" i="76"/>
  <c r="AN16" i="76"/>
  <c r="AH16" i="76"/>
  <c r="AG16" i="76"/>
  <c r="AF16" i="76"/>
  <c r="AE16" i="76"/>
  <c r="AD16" i="76"/>
  <c r="AC16" i="76"/>
  <c r="Z16" i="76"/>
  <c r="Y16" i="76"/>
  <c r="X16" i="76"/>
  <c r="W16" i="76"/>
  <c r="V16" i="76"/>
  <c r="U16" i="76"/>
  <c r="N16" i="76"/>
  <c r="M16" i="76"/>
  <c r="L16" i="76"/>
  <c r="K16" i="76"/>
  <c r="J16" i="76"/>
  <c r="I16" i="76"/>
  <c r="H16" i="76"/>
  <c r="G16" i="76"/>
  <c r="F16" i="76"/>
  <c r="E16" i="76"/>
  <c r="C16" i="76"/>
  <c r="B16" i="76"/>
  <c r="AS15" i="76"/>
  <c r="AR15" i="76"/>
  <c r="AQ15" i="76"/>
  <c r="AP15" i="76"/>
  <c r="AO15" i="76"/>
  <c r="AN15" i="76"/>
  <c r="AH15" i="76"/>
  <c r="AG15" i="76"/>
  <c r="AF15" i="76"/>
  <c r="AE15" i="76"/>
  <c r="AD15" i="76"/>
  <c r="AC15" i="76"/>
  <c r="Z15" i="76"/>
  <c r="Y15" i="76"/>
  <c r="X15" i="76"/>
  <c r="W15" i="76"/>
  <c r="V15" i="76"/>
  <c r="U15" i="76"/>
  <c r="N15" i="76"/>
  <c r="M15" i="76"/>
  <c r="L15" i="76"/>
  <c r="K15" i="76"/>
  <c r="J15" i="76"/>
  <c r="I15" i="76"/>
  <c r="H15" i="76"/>
  <c r="G15" i="76"/>
  <c r="F15" i="76"/>
  <c r="E15" i="76"/>
  <c r="C15" i="76"/>
  <c r="B15" i="76"/>
  <c r="AS14" i="76"/>
  <c r="AR14" i="76"/>
  <c r="AQ14" i="76"/>
  <c r="AP14" i="76"/>
  <c r="AO14" i="76"/>
  <c r="AN14" i="76"/>
  <c r="AH14" i="76"/>
  <c r="AG14" i="76"/>
  <c r="AF14" i="76"/>
  <c r="AE14" i="76"/>
  <c r="AD14" i="76"/>
  <c r="AC14" i="76"/>
  <c r="Z14" i="76"/>
  <c r="Y14" i="76"/>
  <c r="X14" i="76"/>
  <c r="W14" i="76"/>
  <c r="V14" i="76"/>
  <c r="U14" i="76"/>
  <c r="P14" i="76"/>
  <c r="N14" i="76"/>
  <c r="M14" i="76"/>
  <c r="L14" i="76"/>
  <c r="K14" i="76"/>
  <c r="J14" i="76"/>
  <c r="I14" i="76"/>
  <c r="H14" i="76"/>
  <c r="G14" i="76"/>
  <c r="F14" i="76"/>
  <c r="E14" i="76"/>
  <c r="B14" i="76"/>
  <c r="AS12" i="76"/>
  <c r="AR12" i="76"/>
  <c r="AQ12" i="76"/>
  <c r="AP12" i="76"/>
  <c r="AO12" i="76"/>
  <c r="AN12" i="76"/>
  <c r="AH12" i="76"/>
  <c r="AG12" i="76"/>
  <c r="AF12" i="76"/>
  <c r="AE12" i="76"/>
  <c r="AD12" i="76"/>
  <c r="AC12" i="76"/>
  <c r="Z12" i="76"/>
  <c r="Y12" i="76"/>
  <c r="X12" i="76"/>
  <c r="W12" i="76"/>
  <c r="V12" i="76"/>
  <c r="U12" i="76"/>
  <c r="N12" i="76"/>
  <c r="M12" i="76"/>
  <c r="L12" i="76"/>
  <c r="K12" i="76"/>
  <c r="J12" i="76"/>
  <c r="I12" i="76"/>
  <c r="H12" i="76"/>
  <c r="G12" i="76"/>
  <c r="F12" i="76"/>
  <c r="E12" i="76"/>
  <c r="C12" i="76"/>
  <c r="B12" i="76"/>
  <c r="AS11" i="76"/>
  <c r="AR11" i="76"/>
  <c r="AQ11" i="76"/>
  <c r="AP11" i="76"/>
  <c r="AO11" i="76"/>
  <c r="AN11" i="76"/>
  <c r="AH11" i="76"/>
  <c r="AG11" i="76"/>
  <c r="AF11" i="76"/>
  <c r="AE11" i="76"/>
  <c r="AD11" i="76"/>
  <c r="AC11" i="76"/>
  <c r="Z11" i="76"/>
  <c r="Y11" i="76"/>
  <c r="X11" i="76"/>
  <c r="W11" i="76"/>
  <c r="V11" i="76"/>
  <c r="U11" i="76"/>
  <c r="N11" i="76"/>
  <c r="M11" i="76"/>
  <c r="L11" i="76"/>
  <c r="K11" i="76"/>
  <c r="J11" i="76"/>
  <c r="I11" i="76"/>
  <c r="H11" i="76"/>
  <c r="G11" i="76"/>
  <c r="F11" i="76"/>
  <c r="E11" i="76"/>
  <c r="C11" i="76"/>
  <c r="B11" i="76"/>
  <c r="AS10" i="76"/>
  <c r="AR10" i="76"/>
  <c r="AQ10" i="76"/>
  <c r="AP10" i="76"/>
  <c r="AO10" i="76"/>
  <c r="AN10" i="76"/>
  <c r="AH10" i="76"/>
  <c r="AG10" i="76"/>
  <c r="AF10" i="76"/>
  <c r="AE10" i="76"/>
  <c r="AD10" i="76"/>
  <c r="AC10" i="76"/>
  <c r="Z10" i="76"/>
  <c r="Y10" i="76"/>
  <c r="X10" i="76"/>
  <c r="W10" i="76"/>
  <c r="V10" i="76"/>
  <c r="U10" i="76"/>
  <c r="P10" i="76"/>
  <c r="N10" i="76"/>
  <c r="M10" i="76"/>
  <c r="L10" i="76"/>
  <c r="K10" i="76"/>
  <c r="J10" i="76"/>
  <c r="I10" i="76"/>
  <c r="H10" i="76"/>
  <c r="G10" i="76"/>
  <c r="F10" i="76"/>
  <c r="E10" i="76"/>
  <c r="B10" i="76"/>
  <c r="AQ8" i="76"/>
  <c r="AP8" i="76"/>
  <c r="AO8" i="76"/>
  <c r="AN8" i="76"/>
  <c r="AF8" i="76"/>
  <c r="AE8" i="76"/>
  <c r="AD8" i="76"/>
  <c r="AC8" i="76"/>
  <c r="X8" i="76"/>
  <c r="W8" i="76"/>
  <c r="V8" i="76"/>
  <c r="U8" i="76"/>
  <c r="J8" i="76"/>
  <c r="I8" i="76"/>
  <c r="H8" i="76"/>
  <c r="G8" i="76"/>
  <c r="F8" i="76"/>
  <c r="E8" i="76"/>
  <c r="B8" i="76"/>
  <c r="D25" i="79"/>
  <c r="C25" i="79"/>
  <c r="D24" i="79"/>
  <c r="C24" i="79"/>
  <c r="D23" i="79"/>
  <c r="C23" i="79"/>
  <c r="D22" i="79"/>
  <c r="C22" i="79"/>
  <c r="D21" i="79"/>
  <c r="C21" i="79"/>
  <c r="D19" i="79"/>
  <c r="J12" i="79"/>
  <c r="I12" i="79"/>
  <c r="H12" i="79"/>
  <c r="G12" i="79"/>
  <c r="F12" i="79"/>
  <c r="E12" i="79"/>
  <c r="J11" i="79"/>
  <c r="G11" i="79"/>
  <c r="J10" i="79"/>
  <c r="G10" i="79"/>
  <c r="J9" i="79"/>
  <c r="G9" i="79"/>
  <c r="J8" i="79"/>
  <c r="G8" i="79"/>
  <c r="J7" i="79"/>
  <c r="G7" i="79"/>
  <c r="CW28" i="68"/>
  <c r="CO28" i="68"/>
  <c r="CM28" i="68"/>
  <c r="CL28" i="68"/>
  <c r="CK28" i="68"/>
  <c r="CJ28" i="68"/>
  <c r="CI28" i="68"/>
  <c r="CH28" i="68"/>
  <c r="CG28" i="68"/>
  <c r="CF28" i="68"/>
  <c r="CD28" i="68"/>
  <c r="CB28" i="68"/>
  <c r="CA28" i="68"/>
  <c r="BZ28" i="68"/>
  <c r="BY28" i="68"/>
  <c r="BX28" i="68"/>
  <c r="BW28" i="68"/>
  <c r="BV28" i="68"/>
  <c r="BU28" i="68"/>
  <c r="BS28" i="68"/>
  <c r="BL28" i="68"/>
  <c r="BK28" i="68"/>
  <c r="BJ28" i="68"/>
  <c r="BI28" i="68"/>
  <c r="BH28" i="68"/>
  <c r="BF28" i="68"/>
  <c r="BE28" i="68"/>
  <c r="BD28" i="68"/>
  <c r="BC28" i="68"/>
  <c r="BB28" i="68"/>
  <c r="AZ28" i="68"/>
  <c r="AY28" i="68"/>
  <c r="AX28" i="68"/>
  <c r="AW28" i="68"/>
  <c r="AV28" i="68"/>
  <c r="AU28" i="68"/>
  <c r="AT28" i="68"/>
  <c r="AS28" i="68"/>
  <c r="G28" i="68"/>
  <c r="F28" i="68"/>
  <c r="E28" i="68"/>
  <c r="D28" i="68"/>
  <c r="CW27" i="68"/>
  <c r="CO27" i="68"/>
  <c r="CM27" i="68"/>
  <c r="CL27" i="68"/>
  <c r="CK27" i="68"/>
  <c r="CJ27" i="68"/>
  <c r="CI27" i="68"/>
  <c r="CH27" i="68"/>
  <c r="CG27" i="68"/>
  <c r="CF27" i="68"/>
  <c r="CD27" i="68"/>
  <c r="CB27" i="68"/>
  <c r="CA27" i="68"/>
  <c r="BZ27" i="68"/>
  <c r="BY27" i="68"/>
  <c r="BX27" i="68"/>
  <c r="BW27" i="68"/>
  <c r="BV27" i="68"/>
  <c r="BU27" i="68"/>
  <c r="BS27" i="68"/>
  <c r="BL27" i="68"/>
  <c r="BK27" i="68"/>
  <c r="BJ27" i="68"/>
  <c r="BI27" i="68"/>
  <c r="BH27" i="68"/>
  <c r="BF27" i="68"/>
  <c r="BE27" i="68"/>
  <c r="BD27" i="68"/>
  <c r="BC27" i="68"/>
  <c r="BB27" i="68"/>
  <c r="AZ27" i="68"/>
  <c r="AY27" i="68"/>
  <c r="AX27" i="68"/>
  <c r="AW27" i="68"/>
  <c r="AV27" i="68"/>
  <c r="AU27" i="68"/>
  <c r="AT27" i="68"/>
  <c r="AS27" i="68"/>
  <c r="G27" i="68"/>
  <c r="F27" i="68"/>
  <c r="E27" i="68"/>
  <c r="D27" i="68"/>
  <c r="CW26" i="68"/>
  <c r="CO26" i="68"/>
  <c r="CM26" i="68"/>
  <c r="CL26" i="68"/>
  <c r="CK26" i="68"/>
  <c r="CJ26" i="68"/>
  <c r="CI26" i="68"/>
  <c r="CH26" i="68"/>
  <c r="CG26" i="68"/>
  <c r="CF26" i="68"/>
  <c r="CD26" i="68"/>
  <c r="CB26" i="68"/>
  <c r="CA26" i="68"/>
  <c r="BZ26" i="68"/>
  <c r="BY26" i="68"/>
  <c r="BX26" i="68"/>
  <c r="BW26" i="68"/>
  <c r="BV26" i="68"/>
  <c r="BU26" i="68"/>
  <c r="BS26" i="68"/>
  <c r="BL26" i="68"/>
  <c r="BK26" i="68"/>
  <c r="BJ26" i="68"/>
  <c r="BI26" i="68"/>
  <c r="BH26" i="68"/>
  <c r="BF26" i="68"/>
  <c r="BE26" i="68"/>
  <c r="BD26" i="68"/>
  <c r="BC26" i="68"/>
  <c r="BB26" i="68"/>
  <c r="AZ26" i="68"/>
  <c r="AY26" i="68"/>
  <c r="AX26" i="68"/>
  <c r="AW26" i="68"/>
  <c r="AV26" i="68"/>
  <c r="AU26" i="68"/>
  <c r="AT26" i="68"/>
  <c r="AS26" i="68"/>
  <c r="G26" i="68"/>
  <c r="F26" i="68"/>
  <c r="E26" i="68"/>
  <c r="D26" i="68"/>
  <c r="CW23" i="68"/>
  <c r="CO23" i="68"/>
  <c r="CM23" i="68"/>
  <c r="CL23" i="68"/>
  <c r="CK23" i="68"/>
  <c r="CJ23" i="68"/>
  <c r="CI23" i="68"/>
  <c r="CH23" i="68"/>
  <c r="CG23" i="68"/>
  <c r="CF23" i="68"/>
  <c r="CD23" i="68"/>
  <c r="CB23" i="68"/>
  <c r="CA23" i="68"/>
  <c r="BZ23" i="68"/>
  <c r="BY23" i="68"/>
  <c r="BX23" i="68"/>
  <c r="BW23" i="68"/>
  <c r="BV23" i="68"/>
  <c r="BU23" i="68"/>
  <c r="BS23" i="68"/>
  <c r="BL23" i="68"/>
  <c r="BK23" i="68"/>
  <c r="BJ23" i="68"/>
  <c r="BI23" i="68"/>
  <c r="BH23" i="68"/>
  <c r="BF23" i="68"/>
  <c r="BE23" i="68"/>
  <c r="BD23" i="68"/>
  <c r="BC23" i="68"/>
  <c r="BB23" i="68"/>
  <c r="AZ23" i="68"/>
  <c r="AY23" i="68"/>
  <c r="AX23" i="68"/>
  <c r="AW23" i="68"/>
  <c r="AV23" i="68"/>
  <c r="AU23" i="68"/>
  <c r="AT23" i="68"/>
  <c r="AS23" i="68"/>
  <c r="G23" i="68"/>
  <c r="F23" i="68"/>
  <c r="E23" i="68"/>
  <c r="D23" i="68"/>
  <c r="CW22" i="68"/>
  <c r="CO22" i="68"/>
  <c r="CM22" i="68"/>
  <c r="CL22" i="68"/>
  <c r="CK22" i="68"/>
  <c r="CJ22" i="68"/>
  <c r="CI22" i="68"/>
  <c r="CH22" i="68"/>
  <c r="CG22" i="68"/>
  <c r="CF22" i="68"/>
  <c r="CD22" i="68"/>
  <c r="CB22" i="68"/>
  <c r="CA22" i="68"/>
  <c r="BZ22" i="68"/>
  <c r="BY22" i="68"/>
  <c r="BX22" i="68"/>
  <c r="BW22" i="68"/>
  <c r="BV22" i="68"/>
  <c r="BU22" i="68"/>
  <c r="BS22" i="68"/>
  <c r="BL22" i="68"/>
  <c r="BK22" i="68"/>
  <c r="BJ22" i="68"/>
  <c r="BI22" i="68"/>
  <c r="BH22" i="68"/>
  <c r="BF22" i="68"/>
  <c r="BE22" i="68"/>
  <c r="BD22" i="68"/>
  <c r="BC22" i="68"/>
  <c r="BB22" i="68"/>
  <c r="AZ22" i="68"/>
  <c r="AY22" i="68"/>
  <c r="AX22" i="68"/>
  <c r="AW22" i="68"/>
  <c r="AV22" i="68"/>
  <c r="AU22" i="68"/>
  <c r="AT22" i="68"/>
  <c r="AS22" i="68"/>
  <c r="G22" i="68"/>
  <c r="F22" i="68"/>
  <c r="E22" i="68"/>
  <c r="D22" i="68"/>
  <c r="CW21" i="68"/>
  <c r="CO21" i="68"/>
  <c r="CM21" i="68"/>
  <c r="CL21" i="68"/>
  <c r="CK21" i="68"/>
  <c r="CJ21" i="68"/>
  <c r="CI21" i="68"/>
  <c r="CH21" i="68"/>
  <c r="CG21" i="68"/>
  <c r="CF21" i="68"/>
  <c r="CD21" i="68"/>
  <c r="CB21" i="68"/>
  <c r="CA21" i="68"/>
  <c r="BZ21" i="68"/>
  <c r="BY21" i="68"/>
  <c r="BX21" i="68"/>
  <c r="BW21" i="68"/>
  <c r="BV21" i="68"/>
  <c r="BU21" i="68"/>
  <c r="BS21" i="68"/>
  <c r="BL21" i="68"/>
  <c r="BK21" i="68"/>
  <c r="BJ21" i="68"/>
  <c r="BI21" i="68"/>
  <c r="BH21" i="68"/>
  <c r="BF21" i="68"/>
  <c r="BE21" i="68"/>
  <c r="BD21" i="68"/>
  <c r="BC21" i="68"/>
  <c r="BB21" i="68"/>
  <c r="AZ21" i="68"/>
  <c r="AY21" i="68"/>
  <c r="AX21" i="68"/>
  <c r="AW21" i="68"/>
  <c r="AV21" i="68"/>
  <c r="AU21" i="68"/>
  <c r="AT21" i="68"/>
  <c r="AS21" i="68"/>
  <c r="G21" i="68"/>
  <c r="F21" i="68"/>
  <c r="E21" i="68"/>
  <c r="D21" i="68"/>
  <c r="CW20" i="68"/>
  <c r="CO20" i="68"/>
  <c r="CM20" i="68"/>
  <c r="CL20" i="68"/>
  <c r="CK20" i="68"/>
  <c r="CJ20" i="68"/>
  <c r="CI20" i="68"/>
  <c r="CH20" i="68"/>
  <c r="CG20" i="68"/>
  <c r="CF20" i="68"/>
  <c r="CD20" i="68"/>
  <c r="CB20" i="68"/>
  <c r="CA20" i="68"/>
  <c r="BZ20" i="68"/>
  <c r="BY20" i="68"/>
  <c r="BX20" i="68"/>
  <c r="BW20" i="68"/>
  <c r="BV20" i="68"/>
  <c r="BU20" i="68"/>
  <c r="BS20" i="68"/>
  <c r="BL20" i="68"/>
  <c r="BK20" i="68"/>
  <c r="BJ20" i="68"/>
  <c r="BI20" i="68"/>
  <c r="BH20" i="68"/>
  <c r="BF20" i="68"/>
  <c r="BE20" i="68"/>
  <c r="BD20" i="68"/>
  <c r="BC20" i="68"/>
  <c r="BB20" i="68"/>
  <c r="AZ20" i="68"/>
  <c r="AY20" i="68"/>
  <c r="AX20" i="68"/>
  <c r="AW20" i="68"/>
  <c r="AV20" i="68"/>
  <c r="AU20" i="68"/>
  <c r="AT20" i="68"/>
  <c r="AS20" i="68"/>
  <c r="G20" i="68"/>
  <c r="F20" i="68"/>
  <c r="E20" i="68"/>
  <c r="D20" i="68"/>
  <c r="CW17" i="68"/>
  <c r="CO17" i="68"/>
  <c r="CM17" i="68"/>
  <c r="CL17" i="68"/>
  <c r="CK17" i="68"/>
  <c r="CJ17" i="68"/>
  <c r="CI17" i="68"/>
  <c r="CH17" i="68"/>
  <c r="CG17" i="68"/>
  <c r="CF17" i="68"/>
  <c r="CD17" i="68"/>
  <c r="CB17" i="68"/>
  <c r="CA17" i="68"/>
  <c r="BZ17" i="68"/>
  <c r="BY17" i="68"/>
  <c r="BX17" i="68"/>
  <c r="BW17" i="68"/>
  <c r="BV17" i="68"/>
  <c r="BU17" i="68"/>
  <c r="BS17" i="68"/>
  <c r="BL17" i="68"/>
  <c r="BK17" i="68"/>
  <c r="BJ17" i="68"/>
  <c r="BI17" i="68"/>
  <c r="BH17" i="68"/>
  <c r="BF17" i="68"/>
  <c r="BE17" i="68"/>
  <c r="BD17" i="68"/>
  <c r="BC17" i="68"/>
  <c r="BB17" i="68"/>
  <c r="AZ17" i="68"/>
  <c r="AY17" i="68"/>
  <c r="AX17" i="68"/>
  <c r="AW17" i="68"/>
  <c r="AV17" i="68"/>
  <c r="AU17" i="68"/>
  <c r="AT17" i="68"/>
  <c r="AS17" i="68"/>
  <c r="G17" i="68"/>
  <c r="F17" i="68"/>
  <c r="E17" i="68"/>
  <c r="D17" i="68"/>
  <c r="CW16" i="68"/>
  <c r="CO16" i="68"/>
  <c r="CM16" i="68"/>
  <c r="CL16" i="68"/>
  <c r="CK16" i="68"/>
  <c r="CJ16" i="68"/>
  <c r="CI16" i="68"/>
  <c r="CH16" i="68"/>
  <c r="CG16" i="68"/>
  <c r="CF16" i="68"/>
  <c r="CD16" i="68"/>
  <c r="CB16" i="68"/>
  <c r="CA16" i="68"/>
  <c r="BZ16" i="68"/>
  <c r="BY16" i="68"/>
  <c r="BX16" i="68"/>
  <c r="BW16" i="68"/>
  <c r="BV16" i="68"/>
  <c r="BU16" i="68"/>
  <c r="BS16" i="68"/>
  <c r="BL16" i="68"/>
  <c r="BK16" i="68"/>
  <c r="BJ16" i="68"/>
  <c r="BI16" i="68"/>
  <c r="BH16" i="68"/>
  <c r="BF16" i="68"/>
  <c r="BE16" i="68"/>
  <c r="BD16" i="68"/>
  <c r="BC16" i="68"/>
  <c r="BB16" i="68"/>
  <c r="AZ16" i="68"/>
  <c r="AY16" i="68"/>
  <c r="AX16" i="68"/>
  <c r="AW16" i="68"/>
  <c r="AV16" i="68"/>
  <c r="AU16" i="68"/>
  <c r="AT16" i="68"/>
  <c r="AS16" i="68"/>
  <c r="G16" i="68"/>
  <c r="F16" i="68"/>
  <c r="E16" i="68"/>
  <c r="D16" i="68"/>
  <c r="CW15" i="68"/>
  <c r="CO15" i="68"/>
  <c r="CM15" i="68"/>
  <c r="CL15" i="68"/>
  <c r="CK15" i="68"/>
  <c r="CJ15" i="68"/>
  <c r="CI15" i="68"/>
  <c r="CH15" i="68"/>
  <c r="CG15" i="68"/>
  <c r="CF15" i="68"/>
  <c r="CD15" i="68"/>
  <c r="CB15" i="68"/>
  <c r="CA15" i="68"/>
  <c r="BZ15" i="68"/>
  <c r="BY15" i="68"/>
  <c r="BX15" i="68"/>
  <c r="BW15" i="68"/>
  <c r="BV15" i="68"/>
  <c r="BU15" i="68"/>
  <c r="BS15" i="68"/>
  <c r="BL15" i="68"/>
  <c r="BK15" i="68"/>
  <c r="BJ15" i="68"/>
  <c r="BI15" i="68"/>
  <c r="BH15" i="68"/>
  <c r="BF15" i="68"/>
  <c r="BE15" i="68"/>
  <c r="BD15" i="68"/>
  <c r="BC15" i="68"/>
  <c r="BB15" i="68"/>
  <c r="AZ15" i="68"/>
  <c r="AY15" i="68"/>
  <c r="AX15" i="68"/>
  <c r="AW15" i="68"/>
  <c r="AV15" i="68"/>
  <c r="AU15" i="68"/>
  <c r="AT15" i="68"/>
  <c r="AS15" i="68"/>
  <c r="G15" i="68"/>
  <c r="F15" i="68"/>
  <c r="E15" i="68"/>
  <c r="D15" i="68"/>
  <c r="CW14" i="68"/>
  <c r="CO14" i="68"/>
  <c r="CM14" i="68"/>
  <c r="CL14" i="68"/>
  <c r="CK14" i="68"/>
  <c r="CJ14" i="68"/>
  <c r="CI14" i="68"/>
  <c r="CH14" i="68"/>
  <c r="CG14" i="68"/>
  <c r="CF14" i="68"/>
  <c r="CD14" i="68"/>
  <c r="CB14" i="68"/>
  <c r="CA14" i="68"/>
  <c r="BZ14" i="68"/>
  <c r="BY14" i="68"/>
  <c r="BX14" i="68"/>
  <c r="BW14" i="68"/>
  <c r="BV14" i="68"/>
  <c r="BU14" i="68"/>
  <c r="BS14" i="68"/>
  <c r="BL14" i="68"/>
  <c r="BK14" i="68"/>
  <c r="BJ14" i="68"/>
  <c r="BI14" i="68"/>
  <c r="BH14" i="68"/>
  <c r="BF14" i="68"/>
  <c r="BE14" i="68"/>
  <c r="BD14" i="68"/>
  <c r="BC14" i="68"/>
  <c r="BB14" i="68"/>
  <c r="AZ14" i="68"/>
  <c r="AY14" i="68"/>
  <c r="AX14" i="68"/>
  <c r="AW14" i="68"/>
  <c r="AV14" i="68"/>
  <c r="AU14" i="68"/>
  <c r="AT14" i="68"/>
  <c r="AS14" i="68"/>
  <c r="G14" i="68"/>
  <c r="F14" i="68"/>
  <c r="E14" i="68"/>
  <c r="D14" i="68"/>
  <c r="CW11" i="68"/>
  <c r="CO11" i="68"/>
  <c r="CM11" i="68"/>
  <c r="CL11" i="68"/>
  <c r="CK11" i="68"/>
  <c r="CJ11" i="68"/>
  <c r="CI11" i="68"/>
  <c r="CH11" i="68"/>
  <c r="CG11" i="68"/>
  <c r="CF11" i="68"/>
  <c r="CD11" i="68"/>
  <c r="CB11" i="68"/>
  <c r="CA11" i="68"/>
  <c r="BZ11" i="68"/>
  <c r="BY11" i="68"/>
  <c r="BX11" i="68"/>
  <c r="BW11" i="68"/>
  <c r="BV11" i="68"/>
  <c r="BU11" i="68"/>
  <c r="BS11" i="68"/>
  <c r="BL11" i="68"/>
  <c r="BK11" i="68"/>
  <c r="BJ11" i="68"/>
  <c r="BI11" i="68"/>
  <c r="BH11" i="68"/>
  <c r="BF11" i="68"/>
  <c r="BE11" i="68"/>
  <c r="BD11" i="68"/>
  <c r="BC11" i="68"/>
  <c r="BB11" i="68"/>
  <c r="AZ11" i="68"/>
  <c r="AY11" i="68"/>
  <c r="AX11" i="68"/>
  <c r="AW11" i="68"/>
  <c r="AV11" i="68"/>
  <c r="AU11" i="68"/>
  <c r="AT11" i="68"/>
  <c r="AS11" i="68"/>
  <c r="G11" i="68"/>
  <c r="F11" i="68"/>
  <c r="E11" i="68"/>
  <c r="D11" i="68"/>
  <c r="CW10" i="68"/>
  <c r="CO10" i="68"/>
  <c r="CM10" i="68"/>
  <c r="CL10" i="68"/>
  <c r="CK10" i="68"/>
  <c r="CJ10" i="68"/>
  <c r="CI10" i="68"/>
  <c r="CH10" i="68"/>
  <c r="CG10" i="68"/>
  <c r="CF10" i="68"/>
  <c r="CD10" i="68"/>
  <c r="CB10" i="68"/>
  <c r="CA10" i="68"/>
  <c r="BZ10" i="68"/>
  <c r="BY10" i="68"/>
  <c r="BX10" i="68"/>
  <c r="BW10" i="68"/>
  <c r="BV10" i="68"/>
  <c r="BU10" i="68"/>
  <c r="BS10" i="68"/>
  <c r="BL10" i="68"/>
  <c r="BK10" i="68"/>
  <c r="BJ10" i="68"/>
  <c r="BI10" i="68"/>
  <c r="BH10" i="68"/>
  <c r="BF10" i="68"/>
  <c r="BE10" i="68"/>
  <c r="BD10" i="68"/>
  <c r="BC10" i="68"/>
  <c r="BB10" i="68"/>
  <c r="AZ10" i="68"/>
  <c r="AY10" i="68"/>
  <c r="AX10" i="68"/>
  <c r="AW10" i="68"/>
  <c r="AV10" i="68"/>
  <c r="AU10" i="68"/>
  <c r="AT10" i="68"/>
  <c r="AS10" i="68"/>
  <c r="G10" i="68"/>
  <c r="F10" i="68"/>
  <c r="E10" i="68"/>
  <c r="D10" i="68"/>
  <c r="CW9" i="68"/>
  <c r="CO9" i="68"/>
  <c r="CM9" i="68"/>
  <c r="CL9" i="68"/>
  <c r="CK9" i="68"/>
  <c r="CJ9" i="68"/>
  <c r="CI9" i="68"/>
  <c r="CH9" i="68"/>
  <c r="CG9" i="68"/>
  <c r="CF9" i="68"/>
  <c r="CD9" i="68"/>
  <c r="CB9" i="68"/>
  <c r="CA9" i="68"/>
  <c r="BZ9" i="68"/>
  <c r="BY9" i="68"/>
  <c r="BX9" i="68"/>
  <c r="BW9" i="68"/>
  <c r="BV9" i="68"/>
  <c r="BU9" i="68"/>
  <c r="BS9" i="68"/>
  <c r="BL9" i="68"/>
  <c r="BK9" i="68"/>
  <c r="BJ9" i="68"/>
  <c r="BI9" i="68"/>
  <c r="BH9" i="68"/>
  <c r="BF9" i="68"/>
  <c r="BE9" i="68"/>
  <c r="BD9" i="68"/>
  <c r="BC9" i="68"/>
  <c r="BB9" i="68"/>
  <c r="AZ9" i="68"/>
  <c r="AY9" i="68"/>
  <c r="AX9" i="68"/>
  <c r="AW9" i="68"/>
  <c r="AV9" i="68"/>
  <c r="AU9" i="68"/>
  <c r="AT9" i="68"/>
  <c r="AS9" i="68"/>
  <c r="G9" i="68"/>
  <c r="F9" i="68"/>
  <c r="E9" i="68"/>
  <c r="D9" i="68"/>
  <c r="CW6" i="68"/>
  <c r="CW6" i="68" a="1"/>
  <c r="CO6" i="68"/>
  <c r="CM6" i="68"/>
  <c r="CL6" i="68"/>
  <c r="CK6" i="68"/>
  <c r="CJ6" i="68"/>
  <c r="CI6" i="68"/>
  <c r="CH6" i="68"/>
  <c r="CG6" i="68"/>
  <c r="CF6" i="68"/>
  <c r="CD6" i="68"/>
  <c r="CB6" i="68"/>
  <c r="CA6" i="68"/>
  <c r="BZ6" i="68"/>
  <c r="BY6" i="68"/>
  <c r="BX6" i="68"/>
  <c r="BW6" i="68"/>
  <c r="BV6" i="68"/>
  <c r="BU6" i="68"/>
  <c r="BS6" i="68"/>
  <c r="BL6" i="68"/>
  <c r="BK6" i="68"/>
  <c r="BJ6" i="68"/>
  <c r="BI6" i="68"/>
  <c r="BH6" i="68"/>
  <c r="BF6" i="68"/>
  <c r="BE6" i="68"/>
  <c r="BD6" i="68"/>
  <c r="BC6" i="68"/>
  <c r="BB6" i="68"/>
  <c r="AZ6" i="68"/>
  <c r="AY6" i="68"/>
  <c r="AX6" i="68"/>
  <c r="AW6" i="68"/>
  <c r="AV6" i="68"/>
  <c r="AU6" i="68"/>
  <c r="AT6" i="68"/>
  <c r="AS6" i="68"/>
  <c r="AK6" i="68"/>
  <c r="AJ6" i="68"/>
  <c r="AB6" i="68"/>
  <c r="AA6" i="68"/>
  <c r="S6" i="68"/>
  <c r="R6" i="68"/>
  <c r="J6" i="68"/>
  <c r="I6" i="68"/>
  <c r="G6" i="68"/>
  <c r="F6" i="68"/>
  <c r="E6" i="68"/>
  <c r="D6" i="68"/>
  <c r="CM4" i="68"/>
  <c r="CL4" i="68"/>
  <c r="CK4" i="68"/>
  <c r="CJ4" i="68"/>
  <c r="CI4" i="68"/>
  <c r="CH4" i="68"/>
  <c r="CG4" i="68"/>
  <c r="CB4" i="68"/>
  <c r="CA4" i="68"/>
  <c r="BZ4" i="68"/>
  <c r="BY4" i="68"/>
  <c r="BX4" i="68"/>
  <c r="BW4" i="68"/>
  <c r="BV4" i="68"/>
  <c r="BQ4" i="68"/>
  <c r="BP4" i="68"/>
  <c r="BO4" i="68"/>
  <c r="AZ4" i="68"/>
  <c r="AY4" i="68"/>
  <c r="AX4" i="68"/>
  <c r="AW4" i="68"/>
  <c r="AV4" i="68"/>
  <c r="AU4" i="68"/>
  <c r="AT4" i="68"/>
  <c r="AQ4" i="68"/>
  <c r="AP4" i="68"/>
  <c r="AO4" i="68"/>
  <c r="AN4" i="68"/>
  <c r="AM4" i="68"/>
  <c r="AL4" i="68"/>
  <c r="AK4" i="68"/>
  <c r="AH4" i="68"/>
  <c r="AG4" i="68"/>
  <c r="AF4" i="68"/>
  <c r="AE4" i="68"/>
  <c r="AD4" i="68"/>
  <c r="AC4" i="68"/>
  <c r="AB4" i="68"/>
  <c r="Y4" i="68"/>
  <c r="X4" i="68"/>
  <c r="W4" i="68"/>
  <c r="V4" i="68"/>
  <c r="U4" i="68"/>
  <c r="T4" i="68"/>
  <c r="S4" i="68"/>
  <c r="P4" i="68"/>
  <c r="O4" i="68"/>
  <c r="N4" i="68"/>
  <c r="M4" i="68"/>
  <c r="L4" i="68"/>
  <c r="K4" i="68"/>
  <c r="J4" i="68"/>
  <c r="B1" i="68"/>
  <c r="J65" i="70"/>
  <c r="I65" i="70"/>
  <c r="H65" i="70"/>
  <c r="G65" i="70"/>
  <c r="F65" i="70"/>
  <c r="J64" i="70"/>
  <c r="I64" i="70"/>
  <c r="H64" i="70"/>
  <c r="G64" i="70"/>
  <c r="F64" i="70"/>
  <c r="J55" i="70"/>
  <c r="I55" i="70"/>
  <c r="H55" i="70"/>
  <c r="G55" i="70"/>
  <c r="F55" i="70"/>
  <c r="J54" i="70"/>
  <c r="I54" i="70"/>
  <c r="H54" i="70"/>
  <c r="G54" i="70"/>
  <c r="F54" i="70"/>
  <c r="N53" i="70"/>
  <c r="M53" i="70"/>
  <c r="L53" i="70"/>
  <c r="K53" i="70"/>
  <c r="O53" i="70" s="1"/>
  <c r="J53" i="70"/>
  <c r="I53" i="70"/>
  <c r="M52" i="70"/>
  <c r="L52" i="70"/>
  <c r="K52" i="70"/>
  <c r="O52" i="70" s="1"/>
  <c r="J52" i="70"/>
  <c r="I52" i="70"/>
  <c r="O51" i="70"/>
  <c r="L51" i="70"/>
  <c r="L55" i="70" s="1"/>
  <c r="K51" i="70"/>
  <c r="N51" i="70" s="1"/>
  <c r="J51" i="70"/>
  <c r="I51" i="70"/>
  <c r="J43" i="70"/>
  <c r="I43" i="70"/>
  <c r="H43" i="70"/>
  <c r="G43" i="70"/>
  <c r="F43" i="70"/>
  <c r="J42" i="70"/>
  <c r="I42" i="70"/>
  <c r="H42" i="70"/>
  <c r="G42" i="70"/>
  <c r="F42" i="70"/>
  <c r="M41" i="70"/>
  <c r="L41" i="70"/>
  <c r="K41" i="70"/>
  <c r="O41" i="70" s="1"/>
  <c r="J41" i="70"/>
  <c r="I41" i="70"/>
  <c r="O40" i="70"/>
  <c r="L40" i="70"/>
  <c r="K40" i="70"/>
  <c r="N40" i="70" s="1"/>
  <c r="J40" i="70"/>
  <c r="I40" i="70"/>
  <c r="L39" i="70"/>
  <c r="K39" i="70"/>
  <c r="N39" i="70" s="1"/>
  <c r="J39" i="70"/>
  <c r="I39" i="70"/>
  <c r="N38" i="70"/>
  <c r="M38" i="70"/>
  <c r="L38" i="70"/>
  <c r="K38" i="70"/>
  <c r="J38" i="70"/>
  <c r="I38" i="70"/>
  <c r="J30" i="70"/>
  <c r="I30" i="70"/>
  <c r="H30" i="70"/>
  <c r="G30" i="70"/>
  <c r="F30" i="70"/>
  <c r="J29" i="70"/>
  <c r="I29" i="70"/>
  <c r="H29" i="70"/>
  <c r="G29" i="70"/>
  <c r="F29" i="70"/>
  <c r="M28" i="70"/>
  <c r="L28" i="70"/>
  <c r="K28" i="70"/>
  <c r="O28" i="70" s="1"/>
  <c r="O29" i="70" s="1"/>
  <c r="J28" i="70"/>
  <c r="I28" i="70"/>
  <c r="O27" i="70"/>
  <c r="M27" i="70"/>
  <c r="L27" i="70"/>
  <c r="K27" i="70"/>
  <c r="N27" i="70" s="1"/>
  <c r="J27" i="70"/>
  <c r="I27" i="70"/>
  <c r="O26" i="70"/>
  <c r="L26" i="70"/>
  <c r="L30" i="70" s="1"/>
  <c r="K26" i="70"/>
  <c r="N26" i="70" s="1"/>
  <c r="J26" i="70"/>
  <c r="I26" i="70"/>
  <c r="O25" i="70"/>
  <c r="O30" i="70" s="1"/>
  <c r="N25" i="70"/>
  <c r="L25" i="70"/>
  <c r="K25" i="70"/>
  <c r="M25" i="70" s="1"/>
  <c r="J25" i="70"/>
  <c r="I25" i="70"/>
  <c r="J17" i="70"/>
  <c r="I17" i="70"/>
  <c r="H17" i="70"/>
  <c r="G17" i="70"/>
  <c r="F17" i="70"/>
  <c r="J16" i="70"/>
  <c r="I16" i="70"/>
  <c r="H16" i="70"/>
  <c r="G16" i="70"/>
  <c r="F16" i="70"/>
  <c r="M15" i="70"/>
  <c r="L15" i="70"/>
  <c r="K15" i="70"/>
  <c r="O15" i="70" s="1"/>
  <c r="J15" i="70"/>
  <c r="I15" i="70"/>
  <c r="O14" i="70"/>
  <c r="M14" i="70"/>
  <c r="L14" i="70"/>
  <c r="K14" i="70"/>
  <c r="N14" i="70" s="1"/>
  <c r="J14" i="70"/>
  <c r="I14" i="70"/>
  <c r="O13" i="70"/>
  <c r="L13" i="70"/>
  <c r="L17" i="70" s="1"/>
  <c r="K13" i="70"/>
  <c r="N13" i="70" s="1"/>
  <c r="J13" i="70"/>
  <c r="I13" i="70"/>
  <c r="O10" i="70"/>
  <c r="N10" i="70"/>
  <c r="L10" i="70"/>
  <c r="K10" i="70"/>
  <c r="M10" i="70" s="1"/>
  <c r="J10" i="70"/>
  <c r="I10" i="70"/>
  <c r="H19" i="71"/>
  <c r="G19" i="71"/>
  <c r="H18" i="71"/>
  <c r="G18" i="71"/>
  <c r="H17" i="71"/>
  <c r="H12" i="71"/>
  <c r="P4" i="75"/>
  <c r="N3" i="75"/>
  <c r="M3" i="75"/>
  <c r="L3" i="75"/>
  <c r="K3" i="75"/>
  <c r="J3" i="75"/>
  <c r="I3" i="75"/>
  <c r="H3" i="75"/>
  <c r="G3" i="75"/>
  <c r="F3" i="75"/>
  <c r="I123" i="73"/>
  <c r="H123" i="73"/>
  <c r="G123" i="73"/>
  <c r="F123" i="73"/>
  <c r="E123" i="73"/>
  <c r="D123" i="73"/>
  <c r="I122" i="73"/>
  <c r="H122" i="73"/>
  <c r="G122" i="73"/>
  <c r="F122" i="73"/>
  <c r="E122" i="73"/>
  <c r="D122" i="73"/>
  <c r="I121" i="73"/>
  <c r="H121" i="73"/>
  <c r="F121" i="73"/>
  <c r="E121" i="73"/>
  <c r="I120" i="73"/>
  <c r="H120" i="73"/>
  <c r="G120" i="73"/>
  <c r="F120" i="73"/>
  <c r="E120" i="73"/>
  <c r="D120" i="73"/>
  <c r="I119" i="73"/>
  <c r="H119" i="73"/>
  <c r="G119" i="73"/>
  <c r="F119" i="73"/>
  <c r="E119" i="73"/>
  <c r="D119" i="73"/>
  <c r="I118" i="73"/>
  <c r="H118" i="73"/>
  <c r="F118" i="73"/>
  <c r="E118" i="73"/>
  <c r="D113" i="73"/>
  <c r="D112" i="73"/>
  <c r="D110" i="73"/>
  <c r="D109" i="73"/>
  <c r="I108" i="73"/>
  <c r="H108" i="73"/>
  <c r="F108" i="73"/>
  <c r="E108" i="73"/>
  <c r="I100" i="73"/>
  <c r="H100" i="73"/>
  <c r="G100" i="73"/>
  <c r="F100" i="73"/>
  <c r="E100" i="73"/>
  <c r="D100" i="73"/>
  <c r="I99" i="73"/>
  <c r="H99" i="73"/>
  <c r="G99" i="73"/>
  <c r="F99" i="73"/>
  <c r="E99" i="73"/>
  <c r="D99" i="73"/>
  <c r="I98" i="73"/>
  <c r="H98" i="73"/>
  <c r="G98" i="73"/>
  <c r="F98" i="73"/>
  <c r="E98" i="73"/>
  <c r="I97" i="73"/>
  <c r="H97" i="73"/>
  <c r="G97" i="73"/>
  <c r="F97" i="73"/>
  <c r="E97" i="73"/>
  <c r="D97" i="73"/>
  <c r="I96" i="73"/>
  <c r="H96" i="73"/>
  <c r="G96" i="73"/>
  <c r="F96" i="73"/>
  <c r="E96" i="73"/>
  <c r="D96" i="73"/>
  <c r="I95" i="73"/>
  <c r="H95" i="73"/>
  <c r="F95" i="73"/>
  <c r="E95" i="73"/>
  <c r="D90" i="73"/>
  <c r="D89" i="73"/>
  <c r="D87" i="73"/>
  <c r="D86" i="73"/>
  <c r="I85" i="73"/>
  <c r="H85" i="73"/>
  <c r="F85" i="73"/>
  <c r="E85" i="73"/>
  <c r="D69" i="73"/>
  <c r="D56" i="73"/>
  <c r="D53" i="73"/>
  <c r="D50" i="73"/>
  <c r="D40" i="73"/>
  <c r="P33" i="73"/>
  <c r="O33" i="73"/>
  <c r="N33" i="73"/>
  <c r="M33" i="73"/>
  <c r="L33" i="73"/>
  <c r="K33" i="73"/>
  <c r="J33" i="73"/>
  <c r="I33" i="73"/>
  <c r="H33" i="73"/>
  <c r="G33" i="73"/>
  <c r="F33" i="73"/>
  <c r="E33" i="73"/>
  <c r="D33" i="73"/>
  <c r="C32" i="73"/>
  <c r="C31" i="73"/>
  <c r="E30" i="73"/>
  <c r="D30" i="73"/>
  <c r="C30" i="73"/>
  <c r="C29" i="73"/>
  <c r="E28" i="73"/>
  <c r="D28" i="73"/>
  <c r="C28" i="73"/>
  <c r="C26" i="73"/>
  <c r="C25" i="73"/>
  <c r="E24" i="73"/>
  <c r="D24" i="73"/>
  <c r="C24" i="73"/>
  <c r="C22" i="73"/>
  <c r="C21" i="73"/>
  <c r="J19" i="73"/>
  <c r="K19" i="73" s="1"/>
  <c r="L19" i="73" s="1"/>
  <c r="M19" i="73" s="1"/>
  <c r="N19" i="73" s="1"/>
  <c r="E19" i="73"/>
  <c r="D19" i="73"/>
  <c r="E18" i="73"/>
  <c r="D18" i="73"/>
  <c r="C18" i="73"/>
  <c r="N16" i="73"/>
  <c r="M16" i="73"/>
  <c r="L16" i="73"/>
  <c r="K16" i="73"/>
  <c r="J16" i="73"/>
  <c r="I16" i="73"/>
  <c r="H16" i="73"/>
  <c r="G16" i="73"/>
  <c r="F16" i="73"/>
  <c r="E16" i="73"/>
  <c r="D16" i="73"/>
  <c r="C5" i="73"/>
  <c r="C4" i="73"/>
  <c r="I95" i="8"/>
  <c r="H95" i="8"/>
  <c r="G95" i="8"/>
  <c r="F95" i="8"/>
  <c r="E95" i="8"/>
  <c r="D95" i="8"/>
  <c r="I94" i="8"/>
  <c r="H94" i="8"/>
  <c r="G94" i="8"/>
  <c r="F94" i="8"/>
  <c r="E94" i="8"/>
  <c r="D94" i="8"/>
  <c r="I93" i="8"/>
  <c r="H93" i="8"/>
  <c r="G93" i="8"/>
  <c r="F93" i="8"/>
  <c r="E93" i="8"/>
  <c r="I92" i="8"/>
  <c r="H92" i="8"/>
  <c r="G92" i="8"/>
  <c r="F92" i="8"/>
  <c r="E92" i="8"/>
  <c r="D92" i="8"/>
  <c r="I91" i="8"/>
  <c r="H91" i="8"/>
  <c r="G91" i="8"/>
  <c r="F91" i="8"/>
  <c r="E91" i="8"/>
  <c r="D91" i="8"/>
  <c r="I90" i="8"/>
  <c r="H90" i="8"/>
  <c r="F90" i="8"/>
  <c r="E90" i="8"/>
  <c r="D85" i="8"/>
  <c r="D84" i="8"/>
  <c r="D82" i="8"/>
  <c r="D81" i="8"/>
  <c r="I80" i="8"/>
  <c r="H80" i="8"/>
  <c r="F80" i="8"/>
  <c r="E80" i="8"/>
  <c r="D67" i="8"/>
  <c r="D54" i="8"/>
  <c r="D51" i="8"/>
  <c r="D48" i="8"/>
  <c r="D38" i="8"/>
  <c r="K31" i="8"/>
  <c r="I31" i="8"/>
  <c r="H31" i="8"/>
  <c r="G31" i="8"/>
  <c r="F31" i="8"/>
  <c r="E31" i="8"/>
  <c r="D31" i="8"/>
  <c r="C30" i="8"/>
  <c r="C29" i="8"/>
  <c r="E28" i="8"/>
  <c r="D28" i="8"/>
  <c r="C28" i="8"/>
  <c r="C27" i="8"/>
  <c r="E26" i="8"/>
  <c r="D26" i="8"/>
  <c r="C26" i="8"/>
  <c r="C24" i="8"/>
  <c r="C23" i="8"/>
  <c r="E22" i="8"/>
  <c r="D22" i="8"/>
  <c r="C22" i="8"/>
  <c r="C20" i="8"/>
  <c r="C19" i="8"/>
  <c r="E17" i="8"/>
  <c r="D17" i="8"/>
  <c r="E16" i="8"/>
  <c r="D16" i="8"/>
  <c r="C16" i="8"/>
  <c r="I14" i="8"/>
  <c r="H14" i="8"/>
  <c r="G14" i="8"/>
  <c r="F14" i="8"/>
  <c r="E14" i="8"/>
  <c r="D14" i="8"/>
  <c r="C5" i="8"/>
  <c r="C4" i="8"/>
  <c r="S50" i="40"/>
  <c r="R50" i="40"/>
  <c r="Q50" i="40"/>
  <c r="P50" i="40"/>
  <c r="O50" i="40"/>
  <c r="N50" i="40"/>
  <c r="L50" i="40"/>
  <c r="K50" i="40"/>
  <c r="J50" i="40"/>
  <c r="H50" i="40"/>
  <c r="G50" i="40"/>
  <c r="F50" i="40"/>
  <c r="E50" i="40"/>
  <c r="D50" i="40"/>
  <c r="Y49" i="40"/>
  <c r="X49" i="40"/>
  <c r="W49" i="40"/>
  <c r="V49" i="40"/>
  <c r="U49" i="40"/>
  <c r="T49" i="40"/>
  <c r="S49" i="40"/>
  <c r="R49" i="40"/>
  <c r="Q49" i="40"/>
  <c r="P49" i="40"/>
  <c r="O49" i="40"/>
  <c r="N49" i="40"/>
  <c r="H49" i="40"/>
  <c r="G49" i="40"/>
  <c r="F49" i="40"/>
  <c r="E49" i="40"/>
  <c r="D49" i="40"/>
  <c r="Y47" i="40"/>
  <c r="X47" i="40"/>
  <c r="W47" i="40"/>
  <c r="V47" i="40"/>
  <c r="U47" i="40"/>
  <c r="T47" i="40"/>
  <c r="S47" i="40"/>
  <c r="R47" i="40"/>
  <c r="Q47" i="40"/>
  <c r="P47" i="40"/>
  <c r="O47" i="40"/>
  <c r="N47" i="40"/>
  <c r="H47" i="40"/>
  <c r="G47" i="40"/>
  <c r="F47" i="40"/>
  <c r="E47" i="40"/>
  <c r="D47" i="40"/>
  <c r="S42" i="40"/>
  <c r="T41" i="40"/>
  <c r="U41" i="40" s="1"/>
  <c r="V41" i="40" s="1"/>
  <c r="W41" i="40" s="1"/>
  <c r="X41" i="40" s="1"/>
  <c r="Y41" i="40" s="1"/>
  <c r="S41" i="40"/>
  <c r="R41" i="40"/>
  <c r="H41" i="40"/>
  <c r="I41" i="40" s="1"/>
  <c r="J41" i="40" s="1"/>
  <c r="K41" i="40" s="1"/>
  <c r="L41" i="40" s="1"/>
  <c r="G41" i="40"/>
  <c r="S40" i="40"/>
  <c r="T39" i="40"/>
  <c r="D39" i="40"/>
  <c r="S37" i="40"/>
  <c r="R37" i="40"/>
  <c r="Q37" i="40"/>
  <c r="P37" i="40"/>
  <c r="O37" i="40"/>
  <c r="N37" i="40"/>
  <c r="F37" i="40"/>
  <c r="S35" i="40"/>
  <c r="R35" i="40"/>
  <c r="Q35" i="40"/>
  <c r="P35" i="40"/>
  <c r="O35" i="40"/>
  <c r="N35" i="40"/>
  <c r="F35" i="40"/>
  <c r="E35" i="40"/>
  <c r="D35" i="40"/>
  <c r="S32" i="40"/>
  <c r="R32" i="40"/>
  <c r="Q32" i="40"/>
  <c r="P32" i="40"/>
  <c r="O32" i="40"/>
  <c r="H32" i="40"/>
  <c r="G32" i="40"/>
  <c r="F32" i="40"/>
  <c r="E32" i="40"/>
  <c r="D32" i="40"/>
  <c r="S31" i="40"/>
  <c r="R31" i="40"/>
  <c r="Q31" i="40"/>
  <c r="P31" i="40"/>
  <c r="O31" i="40"/>
  <c r="N31" i="40"/>
  <c r="F31" i="40"/>
  <c r="E31" i="40"/>
  <c r="D31" i="40"/>
  <c r="Q30" i="40"/>
  <c r="P30" i="40"/>
  <c r="O30" i="40"/>
  <c r="N30" i="40"/>
  <c r="H30" i="40"/>
  <c r="G30" i="40"/>
  <c r="F30" i="40"/>
  <c r="E30" i="40"/>
  <c r="D30" i="40"/>
  <c r="Y26" i="40"/>
  <c r="X26" i="40"/>
  <c r="W26" i="40"/>
  <c r="V26" i="40"/>
  <c r="U26" i="40"/>
  <c r="T26" i="40"/>
  <c r="S26" i="40"/>
  <c r="R26" i="40"/>
  <c r="Q26" i="40"/>
  <c r="P26" i="40"/>
  <c r="O26" i="40"/>
  <c r="N26" i="40"/>
  <c r="H26" i="40"/>
  <c r="G26" i="40"/>
  <c r="F26" i="40"/>
  <c r="E26" i="40"/>
  <c r="D26" i="40"/>
  <c r="Q25" i="40"/>
  <c r="P25" i="40"/>
  <c r="F25" i="40"/>
  <c r="Y24" i="40"/>
  <c r="X24" i="40"/>
  <c r="W24" i="40"/>
  <c r="V24" i="40"/>
  <c r="U24" i="40"/>
  <c r="T24" i="40"/>
  <c r="S24" i="40"/>
  <c r="Q24" i="40"/>
  <c r="P24" i="40"/>
  <c r="O24" i="40"/>
  <c r="H24" i="40"/>
  <c r="G24" i="40"/>
  <c r="F24" i="40"/>
  <c r="E24" i="40"/>
  <c r="D24" i="40"/>
  <c r="S21" i="40"/>
  <c r="R21" i="40"/>
  <c r="Q21" i="40"/>
  <c r="P21" i="40"/>
  <c r="O21" i="40"/>
  <c r="N21" i="40"/>
  <c r="F21" i="40"/>
  <c r="W20" i="40"/>
  <c r="V20" i="40"/>
  <c r="U20" i="40"/>
  <c r="T20" i="40"/>
  <c r="S20" i="40"/>
  <c r="Q20" i="40"/>
  <c r="P20" i="40"/>
  <c r="O20" i="40"/>
  <c r="G20" i="40"/>
  <c r="F20" i="40"/>
  <c r="E20" i="40"/>
  <c r="D20" i="40"/>
  <c r="W19" i="40"/>
  <c r="V19" i="40"/>
  <c r="U19" i="40"/>
  <c r="T19" i="40"/>
  <c r="S19" i="40"/>
  <c r="R19" i="40"/>
  <c r="Q19" i="40"/>
  <c r="P19" i="40"/>
  <c r="O19" i="40"/>
  <c r="G19" i="40"/>
  <c r="F19" i="40"/>
  <c r="E19" i="40"/>
  <c r="D19" i="40"/>
  <c r="Y18" i="40"/>
  <c r="X18" i="40"/>
  <c r="W18" i="40"/>
  <c r="V18" i="40"/>
  <c r="U18" i="40"/>
  <c r="T18" i="40"/>
  <c r="S18" i="40"/>
  <c r="R18" i="40"/>
  <c r="Q18" i="40"/>
  <c r="P18" i="40"/>
  <c r="O18" i="40"/>
  <c r="H18" i="40"/>
  <c r="G18" i="40"/>
  <c r="F18" i="40"/>
  <c r="E18" i="40"/>
  <c r="D18" i="40"/>
  <c r="S17" i="40"/>
  <c r="R17" i="40"/>
  <c r="Q17" i="40"/>
  <c r="P17" i="40"/>
  <c r="O17" i="40"/>
  <c r="F17" i="40"/>
  <c r="E17" i="40"/>
  <c r="D17" i="40"/>
  <c r="Y16" i="40"/>
  <c r="X16" i="40"/>
  <c r="W16" i="40"/>
  <c r="V16" i="40"/>
  <c r="U16" i="40"/>
  <c r="T16" i="40"/>
  <c r="S16" i="40"/>
  <c r="Q16" i="40"/>
  <c r="P16" i="40"/>
  <c r="O16" i="40"/>
  <c r="H16" i="40"/>
  <c r="G16" i="40"/>
  <c r="F16" i="40"/>
  <c r="E16" i="40"/>
  <c r="D16" i="40"/>
  <c r="S15" i="40"/>
  <c r="R15" i="40"/>
  <c r="Q15" i="40"/>
  <c r="P15" i="40"/>
  <c r="O15" i="40"/>
  <c r="F15" i="40"/>
  <c r="E15" i="40"/>
  <c r="D15" i="40"/>
  <c r="S12" i="40"/>
  <c r="R12" i="40"/>
  <c r="Q12" i="40"/>
  <c r="P12" i="40"/>
  <c r="O12" i="40"/>
  <c r="N12" i="40"/>
  <c r="H12" i="40"/>
  <c r="G12" i="40"/>
  <c r="F12" i="40"/>
  <c r="E12" i="40"/>
  <c r="D12" i="40"/>
  <c r="Y11" i="40"/>
  <c r="X11" i="40"/>
  <c r="W11" i="40"/>
  <c r="V11" i="40"/>
  <c r="U11" i="40"/>
  <c r="T11" i="40"/>
  <c r="S11" i="40"/>
  <c r="Q11" i="40"/>
  <c r="P11" i="40"/>
  <c r="O11" i="40"/>
  <c r="L11" i="40"/>
  <c r="K11" i="40"/>
  <c r="J11" i="40"/>
  <c r="I11" i="40"/>
  <c r="H11" i="40"/>
  <c r="G11" i="40"/>
  <c r="F11" i="40"/>
  <c r="E11" i="40"/>
  <c r="D11" i="40"/>
  <c r="Y10" i="40"/>
  <c r="X10" i="40"/>
  <c r="W10" i="40"/>
  <c r="V10" i="40"/>
  <c r="U10" i="40"/>
  <c r="T10" i="40"/>
  <c r="S10" i="40"/>
  <c r="R10" i="40"/>
  <c r="Q10" i="40"/>
  <c r="P10" i="40"/>
  <c r="O10" i="40"/>
  <c r="L10" i="40"/>
  <c r="K10" i="40"/>
  <c r="J10" i="40"/>
  <c r="I10" i="40"/>
  <c r="H10" i="40"/>
  <c r="G10" i="40"/>
  <c r="F10" i="40"/>
  <c r="E10" i="40"/>
  <c r="D10" i="40"/>
  <c r="Y9" i="40"/>
  <c r="X9" i="40"/>
  <c r="W9" i="40"/>
  <c r="V9" i="40"/>
  <c r="U9" i="40"/>
  <c r="T9" i="40"/>
  <c r="S9" i="40"/>
  <c r="R9" i="40"/>
  <c r="Q9" i="40"/>
  <c r="P9" i="40"/>
  <c r="O9" i="40"/>
  <c r="H9" i="40"/>
  <c r="H130" i="78" s="1"/>
  <c r="G9" i="40"/>
  <c r="G130" i="78" s="1"/>
  <c r="F9" i="40"/>
  <c r="E9" i="40"/>
  <c r="E21" i="40" s="1"/>
  <c r="E37" i="40" s="1"/>
  <c r="D9" i="40"/>
  <c r="D21" i="40" s="1"/>
  <c r="D37" i="40" s="1"/>
  <c r="D40" i="40" s="1"/>
  <c r="S8" i="40"/>
  <c r="R8" i="40"/>
  <c r="Q8" i="40"/>
  <c r="P8" i="40"/>
  <c r="O8" i="40"/>
  <c r="F8" i="40"/>
  <c r="E8" i="40"/>
  <c r="D8" i="40"/>
  <c r="L3" i="40"/>
  <c r="K3" i="40"/>
  <c r="J3" i="40"/>
  <c r="I3" i="40"/>
  <c r="X156" i="23"/>
  <c r="X155" i="23"/>
  <c r="X154" i="23"/>
  <c r="AD150" i="23"/>
  <c r="AC150" i="23"/>
  <c r="AB150" i="23"/>
  <c r="AA150" i="23"/>
  <c r="Z150" i="23"/>
  <c r="Y150" i="23"/>
  <c r="M150" i="23"/>
  <c r="L150" i="23"/>
  <c r="K150" i="23"/>
  <c r="J150" i="23"/>
  <c r="I150" i="23"/>
  <c r="X148" i="23"/>
  <c r="AD147" i="23"/>
  <c r="AC147" i="23"/>
  <c r="AB147" i="23"/>
  <c r="AA147" i="23"/>
  <c r="Z147" i="23"/>
  <c r="Y147" i="23"/>
  <c r="X147" i="23"/>
  <c r="M147" i="23"/>
  <c r="L147" i="23"/>
  <c r="K147" i="23"/>
  <c r="J147" i="23"/>
  <c r="I147" i="23"/>
  <c r="AD146" i="23"/>
  <c r="AC146" i="23"/>
  <c r="AB146" i="23"/>
  <c r="AA146" i="23"/>
  <c r="Z146" i="23"/>
  <c r="Y146" i="23"/>
  <c r="M146" i="23"/>
  <c r="L146" i="23"/>
  <c r="K146" i="23"/>
  <c r="J146" i="23"/>
  <c r="I146" i="23"/>
  <c r="X145" i="23"/>
  <c r="X144" i="23"/>
  <c r="Y142" i="23"/>
  <c r="AD137" i="23"/>
  <c r="AC137" i="23"/>
  <c r="AB137" i="23"/>
  <c r="AA137" i="23"/>
  <c r="Z137" i="23"/>
  <c r="Y137" i="23"/>
  <c r="M137" i="23"/>
  <c r="L137" i="23"/>
  <c r="K137" i="23"/>
  <c r="J137" i="23"/>
  <c r="I137" i="23"/>
  <c r="X135" i="23"/>
  <c r="Y133" i="23"/>
  <c r="AD129" i="23"/>
  <c r="AC129" i="23"/>
  <c r="AB129" i="23"/>
  <c r="AA129" i="23"/>
  <c r="Z129" i="23"/>
  <c r="M129" i="23"/>
  <c r="L129" i="23"/>
  <c r="K129" i="23"/>
  <c r="AD128" i="23"/>
  <c r="AC128" i="23"/>
  <c r="AB128" i="23"/>
  <c r="AA128" i="23"/>
  <c r="Z128" i="23"/>
  <c r="Y128" i="23"/>
  <c r="AD127" i="23"/>
  <c r="AC127" i="23"/>
  <c r="AB127" i="23"/>
  <c r="AA127" i="23"/>
  <c r="Z127" i="23"/>
  <c r="Y127" i="23"/>
  <c r="AD122" i="23"/>
  <c r="AC122" i="23"/>
  <c r="AB122" i="23"/>
  <c r="AA122" i="23"/>
  <c r="Z122" i="23"/>
  <c r="Y122" i="23"/>
  <c r="X122" i="23"/>
  <c r="W122" i="23"/>
  <c r="V122" i="23"/>
  <c r="U122" i="23"/>
  <c r="T122" i="23"/>
  <c r="S122" i="23"/>
  <c r="I122" i="23"/>
  <c r="H122" i="23"/>
  <c r="G122" i="23"/>
  <c r="F122" i="23"/>
  <c r="E122" i="23"/>
  <c r="D122" i="23"/>
  <c r="AD118" i="23"/>
  <c r="AC118" i="23"/>
  <c r="AB118" i="23"/>
  <c r="AA118" i="23"/>
  <c r="Z118" i="23"/>
  <c r="Y118" i="23"/>
  <c r="X118" i="23"/>
  <c r="AD106" i="23"/>
  <c r="AC106" i="23"/>
  <c r="AB106" i="23"/>
  <c r="AA106" i="23"/>
  <c r="Z106" i="23"/>
  <c r="Y106" i="23"/>
  <c r="X106" i="23"/>
  <c r="W106" i="23"/>
  <c r="V106" i="23"/>
  <c r="U106" i="23"/>
  <c r="T106" i="23"/>
  <c r="S106" i="23"/>
  <c r="R106" i="23"/>
  <c r="Q106" i="23"/>
  <c r="P106" i="23"/>
  <c r="O106" i="23"/>
  <c r="I106" i="23"/>
  <c r="H106" i="23"/>
  <c r="AD104" i="23"/>
  <c r="AC104" i="23"/>
  <c r="AB104" i="23"/>
  <c r="AA104" i="23"/>
  <c r="Z104" i="23"/>
  <c r="Y104" i="23"/>
  <c r="AD101" i="23"/>
  <c r="AC101" i="23"/>
  <c r="AB101" i="23"/>
  <c r="AA101" i="23"/>
  <c r="Z101" i="23"/>
  <c r="Y101" i="23"/>
  <c r="I101" i="23"/>
  <c r="H101" i="23"/>
  <c r="B100" i="23"/>
  <c r="B99" i="23"/>
  <c r="B98" i="23"/>
  <c r="B97" i="23"/>
  <c r="M96" i="23"/>
  <c r="L96" i="23"/>
  <c r="K96" i="23"/>
  <c r="J96" i="23"/>
  <c r="I96" i="23"/>
  <c r="B96" i="23"/>
  <c r="M95" i="23"/>
  <c r="L95" i="23"/>
  <c r="K95" i="23"/>
  <c r="J95" i="23"/>
  <c r="I95" i="23"/>
  <c r="H95" i="23"/>
  <c r="M94" i="23"/>
  <c r="L94" i="23"/>
  <c r="K94" i="23"/>
  <c r="J94" i="23"/>
  <c r="I94" i="23"/>
  <c r="AD92" i="23"/>
  <c r="AC92" i="23"/>
  <c r="AB92" i="23"/>
  <c r="AA92" i="23"/>
  <c r="Z92" i="23"/>
  <c r="Y92" i="23"/>
  <c r="X92" i="23"/>
  <c r="W92" i="23"/>
  <c r="V92" i="23"/>
  <c r="U92" i="23"/>
  <c r="T92" i="23"/>
  <c r="S92" i="23"/>
  <c r="I92" i="23"/>
  <c r="H92" i="23"/>
  <c r="J90" i="23"/>
  <c r="I90" i="23"/>
  <c r="J89" i="23"/>
  <c r="K88" i="23"/>
  <c r="I88" i="23"/>
  <c r="K87" i="23"/>
  <c r="J87" i="23"/>
  <c r="K86" i="23"/>
  <c r="J86" i="23"/>
  <c r="K85" i="23"/>
  <c r="J85" i="23"/>
  <c r="K84" i="23"/>
  <c r="J84" i="23"/>
  <c r="K83" i="23"/>
  <c r="X78" i="23"/>
  <c r="W78" i="23"/>
  <c r="V78" i="23"/>
  <c r="U78" i="23"/>
  <c r="T78" i="23"/>
  <c r="S78" i="23"/>
  <c r="R78" i="23"/>
  <c r="Q78" i="23"/>
  <c r="P78" i="23"/>
  <c r="O78" i="23"/>
  <c r="G78" i="23"/>
  <c r="F78" i="23"/>
  <c r="E78" i="23"/>
  <c r="X77" i="23"/>
  <c r="W77" i="23"/>
  <c r="V77" i="23"/>
  <c r="U77" i="23"/>
  <c r="T77" i="23"/>
  <c r="S77" i="23"/>
  <c r="R77" i="23"/>
  <c r="Q77" i="23"/>
  <c r="P77" i="23"/>
  <c r="O77" i="23"/>
  <c r="G77" i="23"/>
  <c r="F77" i="23"/>
  <c r="E77" i="23"/>
  <c r="X74" i="23"/>
  <c r="W74" i="23"/>
  <c r="V74" i="23"/>
  <c r="U74" i="23"/>
  <c r="T74" i="23"/>
  <c r="S74" i="23"/>
  <c r="G74" i="23"/>
  <c r="F74" i="23"/>
  <c r="E74" i="23"/>
  <c r="AD73" i="23"/>
  <c r="AC73" i="23"/>
  <c r="AB73" i="23"/>
  <c r="AA73" i="23"/>
  <c r="Z73" i="23"/>
  <c r="Y73" i="23"/>
  <c r="V73" i="23"/>
  <c r="M73" i="23"/>
  <c r="L73" i="23"/>
  <c r="K73" i="23"/>
  <c r="J73" i="23"/>
  <c r="I73" i="23"/>
  <c r="H73" i="23"/>
  <c r="AD72" i="23"/>
  <c r="AC72" i="23"/>
  <c r="AB72" i="23"/>
  <c r="AA72" i="23"/>
  <c r="Z72" i="23"/>
  <c r="Y72" i="23"/>
  <c r="X72" i="23"/>
  <c r="W72" i="23"/>
  <c r="V72" i="23"/>
  <c r="U72" i="23"/>
  <c r="T72" i="23"/>
  <c r="S72" i="23"/>
  <c r="M72" i="23"/>
  <c r="L72" i="23"/>
  <c r="K72" i="23"/>
  <c r="J72" i="23"/>
  <c r="I72" i="23"/>
  <c r="H72" i="23"/>
  <c r="G72" i="23"/>
  <c r="F72" i="23"/>
  <c r="E72" i="23"/>
  <c r="AD71" i="23"/>
  <c r="AC71" i="23"/>
  <c r="AB71" i="23"/>
  <c r="AA71" i="23"/>
  <c r="Z71" i="23"/>
  <c r="Y71" i="23"/>
  <c r="X71" i="23"/>
  <c r="W71" i="23"/>
  <c r="V71" i="23"/>
  <c r="U71" i="23"/>
  <c r="T71" i="23"/>
  <c r="S71" i="23"/>
  <c r="M71" i="23"/>
  <c r="L71" i="23"/>
  <c r="K71" i="23"/>
  <c r="J71" i="23"/>
  <c r="I71" i="23"/>
  <c r="H71" i="23"/>
  <c r="G71" i="23"/>
  <c r="F71" i="23"/>
  <c r="E71" i="23"/>
  <c r="AD70" i="23"/>
  <c r="AC70" i="23"/>
  <c r="AB70" i="23"/>
  <c r="AA70" i="23"/>
  <c r="Z70" i="23"/>
  <c r="Y70" i="23"/>
  <c r="X70" i="23"/>
  <c r="W70" i="23"/>
  <c r="V70" i="23"/>
  <c r="U70" i="23"/>
  <c r="T70" i="23"/>
  <c r="S70" i="23"/>
  <c r="M70" i="23"/>
  <c r="L70" i="23"/>
  <c r="K70" i="23"/>
  <c r="J70" i="23"/>
  <c r="I70" i="23"/>
  <c r="H70" i="23"/>
  <c r="G70" i="23"/>
  <c r="AD69" i="23"/>
  <c r="AC69" i="23"/>
  <c r="AB69" i="23"/>
  <c r="AA69" i="23"/>
  <c r="Z69" i="23"/>
  <c r="Y69" i="23"/>
  <c r="X69" i="23"/>
  <c r="W69" i="23"/>
  <c r="V69" i="23"/>
  <c r="U69" i="23"/>
  <c r="T69" i="23"/>
  <c r="S69" i="23"/>
  <c r="M69" i="23"/>
  <c r="L69" i="23"/>
  <c r="K69" i="23"/>
  <c r="J69" i="23"/>
  <c r="I69" i="23"/>
  <c r="H69" i="23"/>
  <c r="G69" i="23"/>
  <c r="F69" i="23"/>
  <c r="AD68" i="23"/>
  <c r="AC68" i="23"/>
  <c r="AB68" i="23"/>
  <c r="AA68" i="23"/>
  <c r="Z68" i="23"/>
  <c r="Y68" i="23"/>
  <c r="X68" i="23"/>
  <c r="W68" i="23"/>
  <c r="V68" i="23"/>
  <c r="U68" i="23"/>
  <c r="T68" i="23"/>
  <c r="S68" i="23"/>
  <c r="M68" i="23"/>
  <c r="L68" i="23"/>
  <c r="K68" i="23"/>
  <c r="J68" i="23"/>
  <c r="I68" i="23"/>
  <c r="H68" i="23"/>
  <c r="G68" i="23"/>
  <c r="AD67" i="23"/>
  <c r="AC67" i="23"/>
  <c r="AB67" i="23"/>
  <c r="AA67" i="23"/>
  <c r="Z67" i="23"/>
  <c r="Y67" i="23"/>
  <c r="X67" i="23"/>
  <c r="W67" i="23"/>
  <c r="V67" i="23"/>
  <c r="M67" i="23"/>
  <c r="L67" i="23"/>
  <c r="K67" i="23"/>
  <c r="J67" i="23"/>
  <c r="I67" i="23"/>
  <c r="H67" i="23"/>
  <c r="G67" i="23"/>
  <c r="AD66" i="23"/>
  <c r="AC66" i="23"/>
  <c r="AB66" i="23"/>
  <c r="AA66" i="23"/>
  <c r="Z66" i="23"/>
  <c r="Y66" i="23"/>
  <c r="X66" i="23"/>
  <c r="W66" i="23"/>
  <c r="V66" i="23"/>
  <c r="M66" i="23"/>
  <c r="L66" i="23"/>
  <c r="K66" i="23"/>
  <c r="J66" i="23"/>
  <c r="I66" i="23"/>
  <c r="H66" i="23"/>
  <c r="F66" i="23"/>
  <c r="E66" i="23"/>
  <c r="AD65" i="23"/>
  <c r="AC65" i="23"/>
  <c r="AB65" i="23"/>
  <c r="AA65" i="23"/>
  <c r="Z65" i="23"/>
  <c r="Y65" i="23"/>
  <c r="X65" i="23"/>
  <c r="W65" i="23"/>
  <c r="V65" i="23"/>
  <c r="U65" i="23"/>
  <c r="T65" i="23"/>
  <c r="S65" i="23"/>
  <c r="M65" i="23"/>
  <c r="L65" i="23"/>
  <c r="K65" i="23"/>
  <c r="J65" i="23"/>
  <c r="I65" i="23"/>
  <c r="H65" i="23"/>
  <c r="G65" i="23"/>
  <c r="F65" i="23"/>
  <c r="E65" i="23"/>
  <c r="X63" i="23"/>
  <c r="W63" i="23"/>
  <c r="V63" i="23"/>
  <c r="U63" i="23"/>
  <c r="T63" i="23"/>
  <c r="S63" i="23"/>
  <c r="G63" i="23"/>
  <c r="F63" i="23"/>
  <c r="E63" i="23"/>
  <c r="AD62" i="23"/>
  <c r="AC62" i="23"/>
  <c r="AB62" i="23"/>
  <c r="AA62" i="23"/>
  <c r="Z62" i="23"/>
  <c r="Y62" i="23"/>
  <c r="V62" i="23"/>
  <c r="M62" i="23"/>
  <c r="L62" i="23"/>
  <c r="K62" i="23"/>
  <c r="J62" i="23"/>
  <c r="I62" i="23"/>
  <c r="H62" i="23"/>
  <c r="V61" i="23"/>
  <c r="S61" i="23"/>
  <c r="I61" i="23"/>
  <c r="H61" i="23"/>
  <c r="X60" i="23"/>
  <c r="W60" i="23"/>
  <c r="V60" i="23"/>
  <c r="U60" i="23"/>
  <c r="T60" i="23"/>
  <c r="S60" i="23"/>
  <c r="G60" i="23"/>
  <c r="F60" i="23"/>
  <c r="E60" i="23"/>
  <c r="X57" i="23"/>
  <c r="W57" i="23"/>
  <c r="V57" i="23"/>
  <c r="U57" i="23"/>
  <c r="T57" i="23"/>
  <c r="S57" i="23"/>
  <c r="R57" i="23"/>
  <c r="Q57" i="23"/>
  <c r="P57" i="23"/>
  <c r="O57" i="23"/>
  <c r="G57" i="23"/>
  <c r="F57" i="23"/>
  <c r="E57" i="23"/>
  <c r="D57" i="23"/>
  <c r="X56" i="23"/>
  <c r="W56" i="23"/>
  <c r="V56" i="23"/>
  <c r="U56" i="23"/>
  <c r="T56" i="23"/>
  <c r="S56" i="23"/>
  <c r="R56" i="23"/>
  <c r="Q56" i="23"/>
  <c r="P56" i="23"/>
  <c r="O56" i="23"/>
  <c r="G56" i="23"/>
  <c r="F56" i="23"/>
  <c r="E56" i="23"/>
  <c r="D56" i="23"/>
  <c r="X54" i="23"/>
  <c r="W54" i="23"/>
  <c r="V54" i="23"/>
  <c r="U54" i="23"/>
  <c r="T54" i="23"/>
  <c r="S54" i="23"/>
  <c r="R54" i="23"/>
  <c r="Q54" i="23"/>
  <c r="P54" i="23"/>
  <c r="O54" i="23"/>
  <c r="G54" i="23"/>
  <c r="F54" i="23"/>
  <c r="E54" i="23"/>
  <c r="D54" i="23"/>
  <c r="V53" i="23"/>
  <c r="R53" i="23"/>
  <c r="I53" i="23"/>
  <c r="H53" i="23"/>
  <c r="V52" i="23"/>
  <c r="R52" i="23"/>
  <c r="I52" i="23"/>
  <c r="H52" i="23"/>
  <c r="V51" i="23"/>
  <c r="R51" i="23"/>
  <c r="I51" i="23"/>
  <c r="H51" i="23"/>
  <c r="AD50" i="23"/>
  <c r="AC50" i="23"/>
  <c r="AB50" i="23"/>
  <c r="AA50" i="23"/>
  <c r="Z50" i="23"/>
  <c r="Y50" i="23"/>
  <c r="V50" i="23"/>
  <c r="R50" i="23"/>
  <c r="M50" i="23"/>
  <c r="L50" i="23"/>
  <c r="K50" i="23"/>
  <c r="J50" i="23"/>
  <c r="I50" i="23"/>
  <c r="H50" i="23"/>
  <c r="AD49" i="23"/>
  <c r="AC49" i="23"/>
  <c r="AB49" i="23"/>
  <c r="AA49" i="23"/>
  <c r="Z49" i="23"/>
  <c r="Y49" i="23"/>
  <c r="X49" i="23"/>
  <c r="W49" i="23"/>
  <c r="V49" i="23"/>
  <c r="U49" i="23"/>
  <c r="T49" i="23"/>
  <c r="S49" i="23"/>
  <c r="R49" i="23"/>
  <c r="M49" i="23"/>
  <c r="L49" i="23"/>
  <c r="K49" i="23"/>
  <c r="J49" i="23"/>
  <c r="I49" i="23"/>
  <c r="H49" i="23"/>
  <c r="G49" i="23"/>
  <c r="AD48" i="23"/>
  <c r="AC48" i="23"/>
  <c r="AB48" i="23"/>
  <c r="AA48" i="23"/>
  <c r="Z48" i="23"/>
  <c r="Y48" i="23"/>
  <c r="X48" i="23"/>
  <c r="W48" i="23"/>
  <c r="V48" i="23"/>
  <c r="U48" i="23"/>
  <c r="T48" i="23"/>
  <c r="S48" i="23"/>
  <c r="R48" i="23"/>
  <c r="Q48" i="23"/>
  <c r="P48" i="23"/>
  <c r="O48" i="23"/>
  <c r="M48" i="23"/>
  <c r="L48" i="23"/>
  <c r="K48" i="23"/>
  <c r="J48" i="23"/>
  <c r="I48" i="23"/>
  <c r="H48" i="23"/>
  <c r="G48" i="23"/>
  <c r="F48" i="23"/>
  <c r="E48" i="23"/>
  <c r="D48" i="23"/>
  <c r="AD47" i="23"/>
  <c r="AC47" i="23"/>
  <c r="AB47" i="23"/>
  <c r="AA47" i="23"/>
  <c r="Z47" i="23"/>
  <c r="X47" i="23"/>
  <c r="W47" i="23"/>
  <c r="V47" i="23"/>
  <c r="U47" i="23"/>
  <c r="T47" i="23"/>
  <c r="S47" i="23"/>
  <c r="I47" i="23"/>
  <c r="H47" i="23"/>
  <c r="G47" i="23"/>
  <c r="AD46" i="23"/>
  <c r="AC46" i="23"/>
  <c r="AB46" i="23"/>
  <c r="AA46" i="23"/>
  <c r="Z46" i="23"/>
  <c r="Y46" i="23"/>
  <c r="V46" i="23"/>
  <c r="R46" i="23"/>
  <c r="M46" i="23"/>
  <c r="L46" i="23"/>
  <c r="K46" i="23"/>
  <c r="J46" i="23"/>
  <c r="I46" i="23"/>
  <c r="H46" i="23"/>
  <c r="AD45" i="23"/>
  <c r="AC45" i="23"/>
  <c r="AB45" i="23"/>
  <c r="AA45" i="23"/>
  <c r="Z45" i="23"/>
  <c r="Y45" i="23"/>
  <c r="V45" i="23"/>
  <c r="R45" i="23"/>
  <c r="I45" i="23"/>
  <c r="H45" i="23"/>
  <c r="X44" i="23"/>
  <c r="W44" i="23"/>
  <c r="V44" i="23"/>
  <c r="U44" i="23"/>
  <c r="T44" i="23"/>
  <c r="S44" i="23"/>
  <c r="R44" i="23"/>
  <c r="Q44" i="23"/>
  <c r="P44" i="23"/>
  <c r="O44" i="23"/>
  <c r="G44" i="23"/>
  <c r="F44" i="23"/>
  <c r="E44" i="23"/>
  <c r="D44" i="23"/>
  <c r="X43" i="23"/>
  <c r="W43" i="23"/>
  <c r="V43" i="23"/>
  <c r="U43" i="23"/>
  <c r="T43" i="23"/>
  <c r="S43" i="23"/>
  <c r="R43" i="23"/>
  <c r="Q43" i="23"/>
  <c r="P43" i="23"/>
  <c r="O43" i="23"/>
  <c r="G43" i="23"/>
  <c r="F43" i="23"/>
  <c r="E43" i="23"/>
  <c r="D43" i="23"/>
  <c r="X42" i="23"/>
  <c r="W42" i="23"/>
  <c r="V42" i="23"/>
  <c r="U42" i="23"/>
  <c r="T42" i="23"/>
  <c r="S42" i="23"/>
  <c r="R42" i="23"/>
  <c r="Q42" i="23"/>
  <c r="P42" i="23"/>
  <c r="O42" i="23"/>
  <c r="G42" i="23"/>
  <c r="F42" i="23"/>
  <c r="E42" i="23"/>
  <c r="D42" i="23"/>
  <c r="X39" i="23"/>
  <c r="W39" i="23"/>
  <c r="V39" i="23"/>
  <c r="U39" i="23"/>
  <c r="T39" i="23"/>
  <c r="S39" i="23"/>
  <c r="R39" i="23"/>
  <c r="Q39" i="23"/>
  <c r="P39" i="23"/>
  <c r="O39" i="23"/>
  <c r="G39" i="23"/>
  <c r="F39" i="23"/>
  <c r="E39" i="23"/>
  <c r="D39" i="23"/>
  <c r="AD38" i="23"/>
  <c r="AC38" i="23"/>
  <c r="AB38" i="23"/>
  <c r="AA38" i="23"/>
  <c r="Z38" i="23"/>
  <c r="Y38" i="23"/>
  <c r="X38" i="23"/>
  <c r="W38" i="23"/>
  <c r="V38" i="23"/>
  <c r="U38" i="23"/>
  <c r="T38" i="23"/>
  <c r="S38" i="23"/>
  <c r="M38" i="23"/>
  <c r="L38" i="23"/>
  <c r="K38" i="23"/>
  <c r="J38" i="23"/>
  <c r="I38" i="23"/>
  <c r="H38" i="23"/>
  <c r="G38" i="23"/>
  <c r="X36" i="23"/>
  <c r="W36" i="23"/>
  <c r="G36" i="23"/>
  <c r="X34" i="23"/>
  <c r="W34" i="23"/>
  <c r="V34" i="23"/>
  <c r="U34" i="23"/>
  <c r="T34" i="23"/>
  <c r="S34" i="23"/>
  <c r="R34" i="23"/>
  <c r="Q34" i="23"/>
  <c r="P34" i="23"/>
  <c r="O34" i="23"/>
  <c r="G34" i="23"/>
  <c r="F34" i="23"/>
  <c r="E34" i="23"/>
  <c r="D34" i="23"/>
  <c r="X33" i="23"/>
  <c r="W33" i="23"/>
  <c r="V33" i="23"/>
  <c r="U33" i="23"/>
  <c r="T33" i="23"/>
  <c r="S33" i="23"/>
  <c r="X31" i="23"/>
  <c r="W31" i="23"/>
  <c r="V31" i="23"/>
  <c r="U31" i="23"/>
  <c r="T31" i="23"/>
  <c r="S31" i="23"/>
  <c r="R31" i="23"/>
  <c r="Q31" i="23"/>
  <c r="P31" i="23"/>
  <c r="O31" i="23"/>
  <c r="G31" i="23"/>
  <c r="F31" i="23"/>
  <c r="E31" i="23"/>
  <c r="D31" i="23"/>
  <c r="V30" i="23"/>
  <c r="S30" i="23"/>
  <c r="I30" i="23"/>
  <c r="H30" i="23"/>
  <c r="V29" i="23"/>
  <c r="U29" i="23"/>
  <c r="T29" i="23"/>
  <c r="I29" i="23"/>
  <c r="H29" i="23"/>
  <c r="X28" i="23"/>
  <c r="W28" i="23"/>
  <c r="V28" i="23"/>
  <c r="U28" i="23"/>
  <c r="T28" i="23"/>
  <c r="S28" i="23"/>
  <c r="X27" i="23"/>
  <c r="W27" i="23"/>
  <c r="V27" i="23"/>
  <c r="U27" i="23"/>
  <c r="T27" i="23"/>
  <c r="S27" i="23"/>
  <c r="R27" i="23"/>
  <c r="Q27" i="23"/>
  <c r="P27" i="23"/>
  <c r="O27" i="23"/>
  <c r="G27" i="23"/>
  <c r="F27" i="23"/>
  <c r="E27" i="23"/>
  <c r="D27" i="23"/>
  <c r="X25" i="23"/>
  <c r="W25" i="23"/>
  <c r="V25" i="23"/>
  <c r="U25" i="23"/>
  <c r="T25" i="23"/>
  <c r="S25" i="23"/>
  <c r="G25" i="23"/>
  <c r="F25" i="23"/>
  <c r="E25" i="23"/>
  <c r="X24" i="23"/>
  <c r="W24" i="23"/>
  <c r="V24" i="23"/>
  <c r="U24" i="23"/>
  <c r="T24" i="23"/>
  <c r="S24" i="23"/>
  <c r="R24" i="23"/>
  <c r="Q24" i="23"/>
  <c r="P24" i="23"/>
  <c r="O24" i="23"/>
  <c r="G24" i="23"/>
  <c r="F24" i="23"/>
  <c r="E24" i="23"/>
  <c r="D24" i="23"/>
  <c r="AD23" i="23"/>
  <c r="AC23" i="23"/>
  <c r="AB23" i="23"/>
  <c r="AA23" i="23"/>
  <c r="Z23" i="23"/>
  <c r="X23" i="23"/>
  <c r="W23" i="23"/>
  <c r="V23" i="23"/>
  <c r="U23" i="23"/>
  <c r="T23" i="23"/>
  <c r="S23" i="23"/>
  <c r="R23" i="23"/>
  <c r="Q23" i="23"/>
  <c r="P23" i="23"/>
  <c r="O23" i="23"/>
  <c r="I23" i="23"/>
  <c r="H23" i="23"/>
  <c r="G23" i="23"/>
  <c r="F23" i="23"/>
  <c r="E23" i="23"/>
  <c r="D23" i="23"/>
  <c r="X22" i="23"/>
  <c r="W22" i="23"/>
  <c r="V22" i="23"/>
  <c r="U22" i="23"/>
  <c r="T22" i="23"/>
  <c r="S22" i="23"/>
  <c r="R22" i="23"/>
  <c r="Q22" i="23"/>
  <c r="P22" i="23"/>
  <c r="O22" i="23"/>
  <c r="G22" i="23"/>
  <c r="F22" i="23"/>
  <c r="E22" i="23"/>
  <c r="D22" i="23"/>
  <c r="X21" i="23"/>
  <c r="W21" i="23"/>
  <c r="V21" i="23"/>
  <c r="U21" i="23"/>
  <c r="T21" i="23"/>
  <c r="S21" i="23"/>
  <c r="R21" i="23"/>
  <c r="Q21" i="23"/>
  <c r="P21" i="23"/>
  <c r="O21" i="23"/>
  <c r="G21" i="23"/>
  <c r="F21" i="23"/>
  <c r="E21" i="23"/>
  <c r="D21" i="23"/>
  <c r="AD20" i="23"/>
  <c r="AC20" i="23"/>
  <c r="AB20" i="23"/>
  <c r="AA20" i="23"/>
  <c r="Z20" i="23"/>
  <c r="Y20" i="23"/>
  <c r="X20" i="23"/>
  <c r="W20" i="23"/>
  <c r="V20" i="23"/>
  <c r="U20" i="23"/>
  <c r="T20" i="23"/>
  <c r="S20" i="23"/>
  <c r="R20" i="23"/>
  <c r="I20" i="23"/>
  <c r="H20" i="23"/>
  <c r="AB19" i="23"/>
  <c r="AB21" i="23" s="1"/>
  <c r="AB24" i="23" s="1"/>
  <c r="AA19" i="23"/>
  <c r="AA21" i="23" s="1"/>
  <c r="AA24" i="23" s="1"/>
  <c r="Z19" i="23"/>
  <c r="Z22" i="23" s="1"/>
  <c r="Y19" i="23"/>
  <c r="Y21" i="23" s="1"/>
  <c r="Y24" i="23" s="1"/>
  <c r="X19" i="23"/>
  <c r="W19" i="23"/>
  <c r="V19" i="23"/>
  <c r="U19" i="23"/>
  <c r="T19" i="23"/>
  <c r="S19" i="23"/>
  <c r="R19" i="23"/>
  <c r="X16" i="23"/>
  <c r="W16" i="23"/>
  <c r="V16" i="23"/>
  <c r="U16" i="23"/>
  <c r="T16" i="23"/>
  <c r="S16" i="23"/>
  <c r="R16" i="23"/>
  <c r="Q16" i="23"/>
  <c r="P16" i="23"/>
  <c r="O16" i="23"/>
  <c r="G16" i="23"/>
  <c r="F16" i="23"/>
  <c r="E16" i="23"/>
  <c r="D16" i="23"/>
  <c r="X15" i="23"/>
  <c r="W15" i="23"/>
  <c r="V15" i="23"/>
  <c r="U15" i="23"/>
  <c r="T15" i="23"/>
  <c r="S15" i="23"/>
  <c r="R15" i="23"/>
  <c r="Q15" i="23"/>
  <c r="P15" i="23"/>
  <c r="O15" i="23"/>
  <c r="G15" i="23"/>
  <c r="F15" i="23"/>
  <c r="E15" i="23"/>
  <c r="D15" i="23"/>
  <c r="AA12" i="23"/>
  <c r="X13" i="23"/>
  <c r="W13" i="23"/>
  <c r="V13" i="23"/>
  <c r="U13" i="23"/>
  <c r="T13" i="23"/>
  <c r="S13" i="23"/>
  <c r="R13" i="23"/>
  <c r="Q13" i="23"/>
  <c r="P13" i="23"/>
  <c r="O13" i="23"/>
  <c r="G13" i="23"/>
  <c r="F13" i="23"/>
  <c r="E13" i="23"/>
  <c r="D13" i="23"/>
  <c r="Z12" i="23"/>
  <c r="Z15" i="23" s="1"/>
  <c r="Y12" i="23"/>
  <c r="Y15" i="23" s="1"/>
  <c r="X12" i="23"/>
  <c r="W12" i="23"/>
  <c r="V12" i="23"/>
  <c r="U12" i="23"/>
  <c r="T12" i="23"/>
  <c r="S12" i="23"/>
  <c r="R12" i="23"/>
  <c r="X10" i="23"/>
  <c r="W10" i="23"/>
  <c r="V10" i="23"/>
  <c r="U10" i="23"/>
  <c r="T10" i="23"/>
  <c r="S10" i="23"/>
  <c r="I10" i="23"/>
  <c r="H10" i="23"/>
  <c r="G10" i="23"/>
  <c r="F10" i="23"/>
  <c r="E10" i="23"/>
  <c r="AD9" i="23"/>
  <c r="AC9" i="23"/>
  <c r="AB9" i="23"/>
  <c r="AA9" i="23"/>
  <c r="Z9" i="23"/>
  <c r="Y9" i="23"/>
  <c r="X9" i="23"/>
  <c r="W9" i="23"/>
  <c r="V9" i="23"/>
  <c r="U9" i="23"/>
  <c r="T9" i="23"/>
  <c r="S9" i="23"/>
  <c r="R9" i="23"/>
  <c r="J9" i="23"/>
  <c r="F18" i="73" s="1"/>
  <c r="I9" i="23"/>
  <c r="H9" i="23"/>
  <c r="AD8" i="23"/>
  <c r="AC8" i="23"/>
  <c r="AB8" i="23"/>
  <c r="AA8" i="23"/>
  <c r="Z8" i="23"/>
  <c r="Y8" i="23"/>
  <c r="X8" i="23"/>
  <c r="W8" i="23"/>
  <c r="V8" i="23"/>
  <c r="U8" i="23"/>
  <c r="T8" i="23"/>
  <c r="S8" i="23"/>
  <c r="R8" i="23"/>
  <c r="Q8" i="23"/>
  <c r="P8" i="23"/>
  <c r="M4" i="23"/>
  <c r="L4" i="23"/>
  <c r="K4" i="23"/>
  <c r="J4" i="23"/>
  <c r="I4" i="23"/>
  <c r="H4" i="23"/>
  <c r="G4" i="23"/>
  <c r="F4" i="23"/>
  <c r="E4" i="23"/>
  <c r="AA2" i="23"/>
  <c r="W2" i="23"/>
  <c r="S2" i="23"/>
  <c r="S88" i="39"/>
  <c r="R88" i="39"/>
  <c r="Q88" i="39"/>
  <c r="P88" i="39"/>
  <c r="O88" i="39"/>
  <c r="N88" i="39"/>
  <c r="F88" i="39"/>
  <c r="E88" i="39"/>
  <c r="S86" i="39"/>
  <c r="R86" i="39"/>
  <c r="Q86" i="39"/>
  <c r="P86" i="39"/>
  <c r="O86" i="39"/>
  <c r="N86" i="39"/>
  <c r="F86" i="39"/>
  <c r="E86" i="39"/>
  <c r="D86" i="39"/>
  <c r="W84" i="39"/>
  <c r="V84" i="39"/>
  <c r="U84" i="39"/>
  <c r="T84" i="39"/>
  <c r="S84" i="39"/>
  <c r="R84" i="39"/>
  <c r="Q84" i="39"/>
  <c r="P84" i="39"/>
  <c r="O84" i="39"/>
  <c r="N84" i="39"/>
  <c r="G84" i="39"/>
  <c r="F84" i="39"/>
  <c r="E84" i="39"/>
  <c r="D84" i="39"/>
  <c r="Y82" i="39"/>
  <c r="X82" i="39"/>
  <c r="W82" i="39"/>
  <c r="V82" i="39"/>
  <c r="U82" i="39"/>
  <c r="S82" i="39"/>
  <c r="R82" i="39"/>
  <c r="Q82" i="39"/>
  <c r="P82" i="39"/>
  <c r="O82" i="39"/>
  <c r="N82" i="39"/>
  <c r="L82" i="39"/>
  <c r="K82" i="39"/>
  <c r="J82" i="39"/>
  <c r="F82" i="39"/>
  <c r="E82" i="39"/>
  <c r="D82" i="39"/>
  <c r="W81" i="39"/>
  <c r="V81" i="39"/>
  <c r="U81" i="39"/>
  <c r="T81" i="39"/>
  <c r="S81" i="39"/>
  <c r="R81" i="39"/>
  <c r="Q81" i="39"/>
  <c r="P81" i="39"/>
  <c r="O81" i="39"/>
  <c r="N81" i="39"/>
  <c r="G81" i="39"/>
  <c r="F81" i="39"/>
  <c r="E81" i="39"/>
  <c r="D81" i="39"/>
  <c r="Y79" i="39"/>
  <c r="X79" i="39"/>
  <c r="W79" i="39"/>
  <c r="V79" i="39"/>
  <c r="U79" i="39"/>
  <c r="S79" i="39"/>
  <c r="R79" i="39"/>
  <c r="Q79" i="39"/>
  <c r="P79" i="39"/>
  <c r="O79" i="39"/>
  <c r="N79" i="39"/>
  <c r="L79" i="39"/>
  <c r="K79" i="39"/>
  <c r="J79" i="39"/>
  <c r="F79" i="39"/>
  <c r="E79" i="39"/>
  <c r="D79" i="39"/>
  <c r="W78" i="39"/>
  <c r="V78" i="39"/>
  <c r="U78" i="39"/>
  <c r="T78" i="39"/>
  <c r="S78" i="39"/>
  <c r="R78" i="39"/>
  <c r="Q78" i="39"/>
  <c r="P78" i="39"/>
  <c r="O78" i="39"/>
  <c r="N78" i="39"/>
  <c r="G78" i="39"/>
  <c r="F78" i="39"/>
  <c r="E78" i="39"/>
  <c r="D78" i="39"/>
  <c r="S75" i="39"/>
  <c r="R75" i="39"/>
  <c r="Q75" i="39"/>
  <c r="P75" i="39"/>
  <c r="O75" i="39"/>
  <c r="N75" i="39"/>
  <c r="F75" i="39"/>
  <c r="E75" i="39"/>
  <c r="D75" i="39"/>
  <c r="S74" i="39"/>
  <c r="R74" i="39"/>
  <c r="Q74" i="39"/>
  <c r="P74" i="39"/>
  <c r="O74" i="39"/>
  <c r="N74" i="39"/>
  <c r="F74" i="39"/>
  <c r="E74" i="39"/>
  <c r="D74" i="39"/>
  <c r="Y72" i="39"/>
  <c r="X72" i="39"/>
  <c r="W72" i="39"/>
  <c r="V72" i="39"/>
  <c r="U72" i="39"/>
  <c r="S72" i="39"/>
  <c r="R72" i="39"/>
  <c r="Q72" i="39"/>
  <c r="P72" i="39"/>
  <c r="O72" i="39"/>
  <c r="N72" i="39"/>
  <c r="L72" i="39"/>
  <c r="K72" i="39"/>
  <c r="J72" i="39"/>
  <c r="H72" i="39"/>
  <c r="G72" i="39"/>
  <c r="F72" i="39"/>
  <c r="E72" i="39"/>
  <c r="D72" i="39"/>
  <c r="Y71" i="39"/>
  <c r="X71" i="39"/>
  <c r="W71" i="39"/>
  <c r="V71" i="39"/>
  <c r="U71" i="39"/>
  <c r="T71" i="39"/>
  <c r="S71" i="39"/>
  <c r="R71" i="39"/>
  <c r="Q71" i="39"/>
  <c r="P71" i="39"/>
  <c r="O71" i="39"/>
  <c r="N71" i="39"/>
  <c r="H71" i="39"/>
  <c r="G71" i="39"/>
  <c r="F71" i="39"/>
  <c r="E71" i="39"/>
  <c r="D71" i="39"/>
  <c r="U69" i="39"/>
  <c r="U68" i="39" s="1"/>
  <c r="S69" i="39"/>
  <c r="R69" i="39"/>
  <c r="Q69" i="39"/>
  <c r="P69" i="39"/>
  <c r="O69" i="39"/>
  <c r="N69" i="39"/>
  <c r="J69" i="39"/>
  <c r="K69" i="39" s="1"/>
  <c r="L69" i="39" s="1"/>
  <c r="F69" i="39"/>
  <c r="E69" i="39"/>
  <c r="D69" i="39"/>
  <c r="T68" i="39"/>
  <c r="S68" i="39"/>
  <c r="R68" i="39"/>
  <c r="Q68" i="39"/>
  <c r="P68" i="39"/>
  <c r="O68" i="39"/>
  <c r="N68" i="39"/>
  <c r="F68" i="39"/>
  <c r="E68" i="39"/>
  <c r="D68" i="39"/>
  <c r="Y66" i="39"/>
  <c r="X66" i="39"/>
  <c r="W66" i="39"/>
  <c r="V66" i="39"/>
  <c r="U66" i="39"/>
  <c r="S66" i="39"/>
  <c r="R66" i="39"/>
  <c r="Q66" i="39"/>
  <c r="P66" i="39"/>
  <c r="O66" i="39"/>
  <c r="N66" i="39"/>
  <c r="J66" i="39"/>
  <c r="H66" i="39"/>
  <c r="G66" i="39"/>
  <c r="F66" i="39"/>
  <c r="E66" i="39"/>
  <c r="D66" i="39"/>
  <c r="Y65" i="39"/>
  <c r="X65" i="39"/>
  <c r="W65" i="39"/>
  <c r="V65" i="39"/>
  <c r="U65" i="39"/>
  <c r="T65" i="39"/>
  <c r="S65" i="39"/>
  <c r="R65" i="39"/>
  <c r="Q65" i="39"/>
  <c r="P65" i="39"/>
  <c r="O65" i="39"/>
  <c r="N65" i="39"/>
  <c r="H65" i="39"/>
  <c r="G65" i="39"/>
  <c r="F65" i="39"/>
  <c r="E65" i="39"/>
  <c r="D65" i="39"/>
  <c r="U63" i="39"/>
  <c r="V63" i="39" s="1"/>
  <c r="S63" i="39"/>
  <c r="R63" i="39"/>
  <c r="Q63" i="39"/>
  <c r="P63" i="39"/>
  <c r="O63" i="39"/>
  <c r="N63" i="39"/>
  <c r="J63" i="39"/>
  <c r="K63" i="39" s="1"/>
  <c r="F63" i="39"/>
  <c r="E63" i="39"/>
  <c r="D63" i="39"/>
  <c r="U62" i="39"/>
  <c r="T62" i="39"/>
  <c r="T74" i="39" s="1"/>
  <c r="S62" i="39"/>
  <c r="R62" i="39"/>
  <c r="Q62" i="39"/>
  <c r="P62" i="39"/>
  <c r="O62" i="39"/>
  <c r="N62" i="39"/>
  <c r="F62" i="39"/>
  <c r="E62" i="39"/>
  <c r="D62" i="39"/>
  <c r="Y59" i="39"/>
  <c r="X59" i="39"/>
  <c r="X81" i="39" s="1"/>
  <c r="X28" i="39" s="1"/>
  <c r="W59" i="39"/>
  <c r="V59" i="39"/>
  <c r="U59" i="39"/>
  <c r="T59" i="39"/>
  <c r="S59" i="39"/>
  <c r="R59" i="39"/>
  <c r="Q59" i="39"/>
  <c r="P59" i="39"/>
  <c r="O59" i="39"/>
  <c r="N59" i="39"/>
  <c r="F59" i="39"/>
  <c r="E59" i="39"/>
  <c r="D59" i="39"/>
  <c r="Y58" i="39"/>
  <c r="X58" i="39"/>
  <c r="W58" i="39"/>
  <c r="V58" i="39"/>
  <c r="U58" i="39"/>
  <c r="T58" i="39"/>
  <c r="S58" i="39"/>
  <c r="R58" i="39"/>
  <c r="Q58" i="39"/>
  <c r="P58" i="39"/>
  <c r="O58" i="39"/>
  <c r="N58" i="39"/>
  <c r="I58" i="39"/>
  <c r="I81" i="39" s="1"/>
  <c r="I28" i="39" s="1"/>
  <c r="I25" i="78" s="1"/>
  <c r="H58" i="39"/>
  <c r="G58" i="39"/>
  <c r="F58" i="39"/>
  <c r="E58" i="39"/>
  <c r="D58" i="39"/>
  <c r="Y57" i="39"/>
  <c r="X57" i="39"/>
  <c r="W57" i="39"/>
  <c r="V57" i="39"/>
  <c r="U57" i="39"/>
  <c r="T57" i="39"/>
  <c r="S57" i="39"/>
  <c r="R57" i="39"/>
  <c r="Q57" i="39"/>
  <c r="P57" i="39"/>
  <c r="O57" i="39"/>
  <c r="N57" i="39"/>
  <c r="S50" i="39"/>
  <c r="R50" i="39"/>
  <c r="Q50" i="39"/>
  <c r="P50" i="39"/>
  <c r="O50" i="39"/>
  <c r="N50" i="39"/>
  <c r="F50" i="39"/>
  <c r="E50" i="39"/>
  <c r="D50" i="39"/>
  <c r="S48" i="39"/>
  <c r="R48" i="39"/>
  <c r="Q48" i="39"/>
  <c r="P48" i="39"/>
  <c r="O48" i="39"/>
  <c r="N48" i="39"/>
  <c r="F48" i="39"/>
  <c r="E48" i="39"/>
  <c r="D48" i="39"/>
  <c r="Y46" i="39"/>
  <c r="X46" i="39"/>
  <c r="W46" i="39"/>
  <c r="V46" i="39"/>
  <c r="U46" i="39"/>
  <c r="T46" i="39"/>
  <c r="S46" i="39"/>
  <c r="R46" i="39"/>
  <c r="Q46" i="39"/>
  <c r="P46" i="39"/>
  <c r="O46" i="39"/>
  <c r="N46" i="39"/>
  <c r="L46" i="39"/>
  <c r="K46" i="39"/>
  <c r="J46" i="39"/>
  <c r="I46" i="39"/>
  <c r="H46" i="39"/>
  <c r="G46" i="39"/>
  <c r="F46" i="39"/>
  <c r="S44" i="39"/>
  <c r="R44" i="39"/>
  <c r="Q44" i="39"/>
  <c r="P44" i="39"/>
  <c r="O44" i="39"/>
  <c r="N44" i="39"/>
  <c r="F44" i="39"/>
  <c r="E44" i="39"/>
  <c r="D44" i="39"/>
  <c r="S43" i="39"/>
  <c r="R43" i="39"/>
  <c r="Q43" i="39"/>
  <c r="P43" i="39"/>
  <c r="O43" i="39"/>
  <c r="N43" i="39"/>
  <c r="F43" i="39"/>
  <c r="E43" i="39"/>
  <c r="D43" i="39"/>
  <c r="Y42" i="39"/>
  <c r="X42" i="39"/>
  <c r="W42" i="39"/>
  <c r="V42" i="39"/>
  <c r="U42" i="39"/>
  <c r="T42" i="39"/>
  <c r="S42" i="39"/>
  <c r="R42" i="39"/>
  <c r="Q42" i="39"/>
  <c r="P42" i="39"/>
  <c r="O42" i="39"/>
  <c r="N42" i="39"/>
  <c r="L42" i="39"/>
  <c r="K42" i="39"/>
  <c r="J42" i="39"/>
  <c r="I42" i="39"/>
  <c r="H42" i="39"/>
  <c r="G42" i="39"/>
  <c r="F42" i="39"/>
  <c r="S39" i="39"/>
  <c r="R39" i="39"/>
  <c r="Q39" i="39"/>
  <c r="P39" i="39"/>
  <c r="O39" i="39"/>
  <c r="N39" i="39"/>
  <c r="F39" i="39"/>
  <c r="E39" i="39"/>
  <c r="D39" i="39"/>
  <c r="L38" i="39"/>
  <c r="K38" i="39"/>
  <c r="J38" i="39"/>
  <c r="I38" i="39"/>
  <c r="H38" i="39"/>
  <c r="G38" i="39"/>
  <c r="F38" i="39"/>
  <c r="L37" i="39"/>
  <c r="K37" i="39"/>
  <c r="J37" i="39"/>
  <c r="I37" i="39"/>
  <c r="H37" i="39"/>
  <c r="G37" i="39"/>
  <c r="F37" i="39"/>
  <c r="Y36" i="39"/>
  <c r="X36" i="39"/>
  <c r="W36" i="39"/>
  <c r="V36" i="39"/>
  <c r="U36" i="39"/>
  <c r="T36" i="39"/>
  <c r="S36" i="39"/>
  <c r="R36" i="39"/>
  <c r="Q36" i="39"/>
  <c r="L36" i="39"/>
  <c r="K36" i="39"/>
  <c r="J36" i="39"/>
  <c r="I36" i="39"/>
  <c r="H36" i="39"/>
  <c r="G36" i="39"/>
  <c r="F36" i="39"/>
  <c r="Y35" i="39"/>
  <c r="X35" i="39"/>
  <c r="W35" i="39"/>
  <c r="V35" i="39"/>
  <c r="U35" i="39"/>
  <c r="T35" i="39"/>
  <c r="S35" i="39"/>
  <c r="R35" i="39"/>
  <c r="Q35" i="39"/>
  <c r="P35" i="39"/>
  <c r="O35" i="39"/>
  <c r="N35" i="39"/>
  <c r="L35" i="39"/>
  <c r="K35" i="39"/>
  <c r="J35" i="39"/>
  <c r="I35" i="39"/>
  <c r="H35" i="39"/>
  <c r="G35" i="39"/>
  <c r="F35" i="39"/>
  <c r="T34" i="39"/>
  <c r="S34" i="39"/>
  <c r="R34" i="39"/>
  <c r="Q34" i="39"/>
  <c r="P34" i="39"/>
  <c r="O34" i="39"/>
  <c r="N34" i="39"/>
  <c r="F34" i="39"/>
  <c r="E34" i="39"/>
  <c r="D34" i="39"/>
  <c r="S33" i="39"/>
  <c r="R33" i="39"/>
  <c r="Q33" i="39"/>
  <c r="P33" i="39"/>
  <c r="O33" i="39"/>
  <c r="N33" i="39"/>
  <c r="F33" i="39"/>
  <c r="E33" i="39"/>
  <c r="D33" i="39"/>
  <c r="W31" i="39"/>
  <c r="V31" i="39"/>
  <c r="U31" i="39"/>
  <c r="T31" i="39"/>
  <c r="S31" i="39"/>
  <c r="R31" i="39"/>
  <c r="Q31" i="39"/>
  <c r="P31" i="39"/>
  <c r="O31" i="39"/>
  <c r="N31" i="39"/>
  <c r="G31" i="39"/>
  <c r="F31" i="39"/>
  <c r="E31" i="39"/>
  <c r="D31" i="39"/>
  <c r="Y30" i="39"/>
  <c r="X30" i="39"/>
  <c r="W30" i="39"/>
  <c r="V30" i="39"/>
  <c r="U30" i="39"/>
  <c r="T30" i="39"/>
  <c r="S30" i="39"/>
  <c r="R30" i="39"/>
  <c r="Q30" i="39"/>
  <c r="P30" i="39"/>
  <c r="O30" i="39"/>
  <c r="N30" i="39"/>
  <c r="L30" i="39"/>
  <c r="K30" i="39"/>
  <c r="J30" i="39"/>
  <c r="I30" i="39"/>
  <c r="H30" i="39"/>
  <c r="G30" i="39"/>
  <c r="F30" i="39"/>
  <c r="E30" i="39"/>
  <c r="D30" i="39"/>
  <c r="Y29" i="39"/>
  <c r="X29" i="39"/>
  <c r="W29" i="39"/>
  <c r="V29" i="39"/>
  <c r="U29" i="39"/>
  <c r="T29" i="39"/>
  <c r="S29" i="39"/>
  <c r="R29" i="39"/>
  <c r="L29" i="39"/>
  <c r="K29" i="39"/>
  <c r="J29" i="39"/>
  <c r="I29" i="39"/>
  <c r="H29" i="39"/>
  <c r="G29" i="39"/>
  <c r="W28" i="39"/>
  <c r="V28" i="39"/>
  <c r="U28" i="39"/>
  <c r="T28" i="39"/>
  <c r="S28" i="39"/>
  <c r="R28" i="39"/>
  <c r="Q28" i="39"/>
  <c r="P28" i="39"/>
  <c r="O28" i="39"/>
  <c r="N28" i="39"/>
  <c r="G28" i="39"/>
  <c r="F28" i="39"/>
  <c r="E28" i="39"/>
  <c r="D28" i="39"/>
  <c r="W27" i="39"/>
  <c r="V27" i="39"/>
  <c r="U27" i="39"/>
  <c r="T27" i="39"/>
  <c r="S27" i="39"/>
  <c r="R27" i="39"/>
  <c r="Q27" i="39"/>
  <c r="P27" i="39"/>
  <c r="O27" i="39"/>
  <c r="N27" i="39"/>
  <c r="G27" i="39"/>
  <c r="F27" i="39"/>
  <c r="E27" i="39"/>
  <c r="D27" i="39"/>
  <c r="S22" i="39"/>
  <c r="R22" i="39"/>
  <c r="Q22" i="39"/>
  <c r="P22" i="39"/>
  <c r="O22" i="39"/>
  <c r="N22" i="39"/>
  <c r="F22" i="39"/>
  <c r="E22" i="39"/>
  <c r="D22" i="39"/>
  <c r="Y21" i="39"/>
  <c r="X21" i="39"/>
  <c r="W21" i="39"/>
  <c r="V21" i="39"/>
  <c r="U21" i="39"/>
  <c r="T21" i="39"/>
  <c r="S21" i="39"/>
  <c r="R21" i="39"/>
  <c r="Q21" i="39"/>
  <c r="P21" i="39"/>
  <c r="O21" i="39"/>
  <c r="N21" i="39"/>
  <c r="L21" i="39"/>
  <c r="K21" i="39"/>
  <c r="J21" i="39"/>
  <c r="I21" i="39"/>
  <c r="H21" i="39"/>
  <c r="G21" i="39"/>
  <c r="F21" i="39"/>
  <c r="E21" i="39"/>
  <c r="Y20" i="39"/>
  <c r="X20" i="39"/>
  <c r="W20" i="39"/>
  <c r="V20" i="39"/>
  <c r="U20" i="39"/>
  <c r="T20" i="39"/>
  <c r="S20" i="39"/>
  <c r="R20" i="39"/>
  <c r="Q20" i="39"/>
  <c r="P20" i="39"/>
  <c r="O20" i="39"/>
  <c r="N20" i="39"/>
  <c r="L20" i="39"/>
  <c r="K20" i="39"/>
  <c r="J20" i="39"/>
  <c r="I20" i="39"/>
  <c r="H20" i="39"/>
  <c r="G20" i="39"/>
  <c r="F20" i="39"/>
  <c r="Y19" i="39"/>
  <c r="X19" i="39"/>
  <c r="W19" i="39"/>
  <c r="V19" i="39"/>
  <c r="U19" i="39"/>
  <c r="T19" i="39"/>
  <c r="S19" i="39"/>
  <c r="R19" i="39"/>
  <c r="Q19" i="39"/>
  <c r="P19" i="39"/>
  <c r="O19" i="39"/>
  <c r="N19" i="39"/>
  <c r="L19" i="39"/>
  <c r="K19" i="39"/>
  <c r="J19" i="39"/>
  <c r="I19" i="39"/>
  <c r="H19" i="39"/>
  <c r="G19" i="39"/>
  <c r="F19" i="39"/>
  <c r="E19" i="39"/>
  <c r="D19" i="39"/>
  <c r="Y18" i="39"/>
  <c r="X18" i="39"/>
  <c r="W18" i="39"/>
  <c r="V18" i="39"/>
  <c r="U18" i="39"/>
  <c r="T18" i="39"/>
  <c r="S18" i="39"/>
  <c r="R18" i="39"/>
  <c r="Q18" i="39"/>
  <c r="P18" i="39"/>
  <c r="O18" i="39"/>
  <c r="N18" i="39"/>
  <c r="L18" i="39"/>
  <c r="K18" i="39"/>
  <c r="J18" i="39"/>
  <c r="I18" i="39"/>
  <c r="H18" i="39"/>
  <c r="G18" i="39"/>
  <c r="F18" i="39"/>
  <c r="E18" i="39"/>
  <c r="D18" i="39"/>
  <c r="Y17" i="39"/>
  <c r="X17" i="39"/>
  <c r="W17" i="39"/>
  <c r="V17" i="39"/>
  <c r="U17" i="39"/>
  <c r="T17" i="39"/>
  <c r="S17" i="39"/>
  <c r="R17" i="39"/>
  <c r="Q17" i="39"/>
  <c r="P17" i="39"/>
  <c r="O17" i="39"/>
  <c r="N17" i="39"/>
  <c r="H17" i="39"/>
  <c r="G17" i="39"/>
  <c r="F17" i="39"/>
  <c r="E17" i="39"/>
  <c r="D17" i="39"/>
  <c r="S15" i="39"/>
  <c r="R15" i="39"/>
  <c r="Q15" i="39"/>
  <c r="P15" i="39"/>
  <c r="O15" i="39"/>
  <c r="N15" i="39"/>
  <c r="F15" i="39"/>
  <c r="E15" i="39"/>
  <c r="D15" i="39"/>
  <c r="Y14" i="39"/>
  <c r="X14" i="39"/>
  <c r="W14" i="39"/>
  <c r="V14" i="39"/>
  <c r="U14" i="39"/>
  <c r="T14" i="39"/>
  <c r="S14" i="39"/>
  <c r="R14" i="39"/>
  <c r="Q14" i="39"/>
  <c r="P14" i="39"/>
  <c r="O14" i="39"/>
  <c r="N14" i="39"/>
  <c r="H14" i="39"/>
  <c r="G14" i="39"/>
  <c r="F14" i="39"/>
  <c r="E14" i="39"/>
  <c r="D14" i="39"/>
  <c r="T13" i="39"/>
  <c r="S13" i="39"/>
  <c r="R13" i="39"/>
  <c r="Q13" i="39"/>
  <c r="P13" i="39"/>
  <c r="O13" i="39"/>
  <c r="N13" i="39"/>
  <c r="F13" i="39"/>
  <c r="E13" i="39"/>
  <c r="D13" i="39"/>
  <c r="Y12" i="39"/>
  <c r="X12" i="39"/>
  <c r="W12" i="39"/>
  <c r="V12" i="39"/>
  <c r="U12" i="39"/>
  <c r="T12" i="39"/>
  <c r="S12" i="39"/>
  <c r="R12" i="39"/>
  <c r="Q12" i="39"/>
  <c r="P12" i="39"/>
  <c r="O12" i="39"/>
  <c r="N12" i="39"/>
  <c r="H12" i="39"/>
  <c r="G12" i="39"/>
  <c r="F12" i="39"/>
  <c r="E12" i="39"/>
  <c r="D12" i="39"/>
  <c r="U11" i="39"/>
  <c r="T11" i="39"/>
  <c r="U15" i="40" s="1"/>
  <c r="S11" i="39"/>
  <c r="R11" i="39"/>
  <c r="Q11" i="39"/>
  <c r="P11" i="39"/>
  <c r="O11" i="39"/>
  <c r="N11" i="39"/>
  <c r="G11" i="39"/>
  <c r="F11" i="39"/>
  <c r="E11" i="39"/>
  <c r="D11" i="39"/>
  <c r="S10" i="39"/>
  <c r="R10" i="39"/>
  <c r="Q10" i="39"/>
  <c r="P10" i="39"/>
  <c r="O10" i="39"/>
  <c r="N10" i="39"/>
  <c r="F10" i="39"/>
  <c r="E10" i="39"/>
  <c r="D10" i="39"/>
  <c r="Y4" i="39"/>
  <c r="X4" i="39"/>
  <c r="W4" i="39"/>
  <c r="V4" i="39"/>
  <c r="U4" i="39"/>
  <c r="T4" i="39"/>
  <c r="S4" i="39"/>
  <c r="R4" i="39"/>
  <c r="Q4" i="39"/>
  <c r="P4" i="39"/>
  <c r="O4" i="39"/>
  <c r="L4" i="39"/>
  <c r="K4" i="39"/>
  <c r="J4" i="39"/>
  <c r="I4" i="39"/>
  <c r="H4" i="39"/>
  <c r="G4" i="39"/>
  <c r="F4" i="39"/>
  <c r="E4" i="39"/>
  <c r="L3" i="39"/>
  <c r="K3" i="39"/>
  <c r="J3" i="39"/>
  <c r="I3" i="39"/>
  <c r="C158" i="78"/>
  <c r="H157" i="78"/>
  <c r="D157" i="78"/>
  <c r="C157" i="78"/>
  <c r="F155" i="78"/>
  <c r="D155" i="78"/>
  <c r="C155" i="78"/>
  <c r="F153" i="78"/>
  <c r="E153" i="78"/>
  <c r="D153" i="78"/>
  <c r="C153" i="78"/>
  <c r="L151" i="78"/>
  <c r="K151" i="78"/>
  <c r="J151" i="78"/>
  <c r="I151" i="78"/>
  <c r="H151" i="78"/>
  <c r="G151" i="78"/>
  <c r="F151" i="78"/>
  <c r="E151" i="78"/>
  <c r="D151" i="78"/>
  <c r="C151" i="78"/>
  <c r="F150" i="78"/>
  <c r="E150" i="78"/>
  <c r="D150" i="78"/>
  <c r="C150" i="78"/>
  <c r="L149" i="78"/>
  <c r="K149" i="78"/>
  <c r="J149" i="78"/>
  <c r="I149" i="78"/>
  <c r="H149" i="78"/>
  <c r="G149" i="78"/>
  <c r="F149" i="78"/>
  <c r="E149" i="78"/>
  <c r="D149" i="78"/>
  <c r="C149" i="78"/>
  <c r="L148" i="78"/>
  <c r="K148" i="78"/>
  <c r="J148" i="78"/>
  <c r="I148" i="78"/>
  <c r="H148" i="78"/>
  <c r="G148" i="78"/>
  <c r="F148" i="78"/>
  <c r="E148" i="78"/>
  <c r="D148" i="78"/>
  <c r="C148" i="78"/>
  <c r="H146" i="78"/>
  <c r="G146" i="78"/>
  <c r="F146" i="78"/>
  <c r="E146" i="78"/>
  <c r="D146" i="78"/>
  <c r="C146" i="78"/>
  <c r="L145" i="78"/>
  <c r="K145" i="78"/>
  <c r="J145" i="78"/>
  <c r="I145" i="78"/>
  <c r="H145" i="78"/>
  <c r="G145" i="78"/>
  <c r="F145" i="78"/>
  <c r="E145" i="78"/>
  <c r="D145" i="78"/>
  <c r="C145" i="78"/>
  <c r="H144" i="78"/>
  <c r="G144" i="78"/>
  <c r="F144" i="78"/>
  <c r="E144" i="78"/>
  <c r="D144" i="78"/>
  <c r="C144" i="78"/>
  <c r="C143" i="78"/>
  <c r="F141" i="78"/>
  <c r="E141" i="78"/>
  <c r="D141" i="78"/>
  <c r="C141" i="78"/>
  <c r="G140" i="78"/>
  <c r="F140" i="78"/>
  <c r="E140" i="78"/>
  <c r="D140" i="78"/>
  <c r="C140" i="78"/>
  <c r="G139" i="78"/>
  <c r="F139" i="78"/>
  <c r="E139" i="78"/>
  <c r="D139" i="78"/>
  <c r="C139" i="78"/>
  <c r="H138" i="78"/>
  <c r="G138" i="78"/>
  <c r="F138" i="78"/>
  <c r="E138" i="78"/>
  <c r="D138" i="78"/>
  <c r="C138" i="78"/>
  <c r="F137" i="78"/>
  <c r="E137" i="78"/>
  <c r="D137" i="78"/>
  <c r="C137" i="78"/>
  <c r="H136" i="78"/>
  <c r="G136" i="78"/>
  <c r="F136" i="78"/>
  <c r="E136" i="78"/>
  <c r="D136" i="78"/>
  <c r="C136" i="78"/>
  <c r="F135" i="78"/>
  <c r="E135" i="78"/>
  <c r="D135" i="78"/>
  <c r="C135" i="78"/>
  <c r="L133" i="78"/>
  <c r="K133" i="78"/>
  <c r="J133" i="78"/>
  <c r="I133" i="78"/>
  <c r="H133" i="78"/>
  <c r="G133" i="78"/>
  <c r="F133" i="78"/>
  <c r="E133" i="78"/>
  <c r="D133" i="78"/>
  <c r="C133" i="78"/>
  <c r="L132" i="78"/>
  <c r="K132" i="78"/>
  <c r="J132" i="78"/>
  <c r="I132" i="78"/>
  <c r="H132" i="78"/>
  <c r="G132" i="78"/>
  <c r="F132" i="78"/>
  <c r="E132" i="78"/>
  <c r="D132" i="78"/>
  <c r="C132" i="78"/>
  <c r="L131" i="78"/>
  <c r="K131" i="78"/>
  <c r="J131" i="78"/>
  <c r="I131" i="78"/>
  <c r="H131" i="78"/>
  <c r="G131" i="78"/>
  <c r="F131" i="78"/>
  <c r="E131" i="78"/>
  <c r="D131" i="78"/>
  <c r="C131" i="78"/>
  <c r="F130" i="78"/>
  <c r="E130" i="78"/>
  <c r="D130" i="78"/>
  <c r="C130" i="78"/>
  <c r="F129" i="78"/>
  <c r="E129" i="78"/>
  <c r="D129" i="78"/>
  <c r="C129" i="78"/>
  <c r="C128" i="78"/>
  <c r="L125" i="78"/>
  <c r="K125" i="78"/>
  <c r="J125" i="78"/>
  <c r="I125" i="78"/>
  <c r="H125" i="78"/>
  <c r="G125" i="78"/>
  <c r="F125" i="78"/>
  <c r="E125" i="78"/>
  <c r="L124" i="78"/>
  <c r="K124" i="78"/>
  <c r="J124" i="78"/>
  <c r="I124" i="78"/>
  <c r="F119" i="78"/>
  <c r="E119" i="78"/>
  <c r="D119" i="78"/>
  <c r="C119" i="78"/>
  <c r="L118" i="78"/>
  <c r="K118" i="78"/>
  <c r="J118" i="78"/>
  <c r="I118" i="78"/>
  <c r="H118" i="78"/>
  <c r="G118" i="78"/>
  <c r="F118" i="78"/>
  <c r="E118" i="78"/>
  <c r="D118" i="78"/>
  <c r="C118" i="78"/>
  <c r="L117" i="78"/>
  <c r="K117" i="78"/>
  <c r="J117" i="78"/>
  <c r="I117" i="78"/>
  <c r="H117" i="78"/>
  <c r="G117" i="78"/>
  <c r="F117" i="78"/>
  <c r="E117" i="78"/>
  <c r="D117" i="78"/>
  <c r="C117" i="78"/>
  <c r="L116" i="78"/>
  <c r="K116" i="78"/>
  <c r="J116" i="78"/>
  <c r="I116" i="78"/>
  <c r="H116" i="78"/>
  <c r="G116" i="78"/>
  <c r="F116" i="78"/>
  <c r="E116" i="78"/>
  <c r="D116" i="78"/>
  <c r="C116" i="78"/>
  <c r="L115" i="78"/>
  <c r="K115" i="78"/>
  <c r="J115" i="78"/>
  <c r="I115" i="78"/>
  <c r="H115" i="78"/>
  <c r="G115" i="78"/>
  <c r="F115" i="78"/>
  <c r="E115" i="78"/>
  <c r="D115" i="78"/>
  <c r="C115" i="78"/>
  <c r="L114" i="78"/>
  <c r="K114" i="78"/>
  <c r="J114" i="78"/>
  <c r="I114" i="78"/>
  <c r="H114" i="78"/>
  <c r="G114" i="78"/>
  <c r="F114" i="78"/>
  <c r="E114" i="78"/>
  <c r="D114" i="78"/>
  <c r="C114" i="78"/>
  <c r="L113" i="78"/>
  <c r="K113" i="78"/>
  <c r="J113" i="78"/>
  <c r="I113" i="78"/>
  <c r="H113" i="78"/>
  <c r="G113" i="78"/>
  <c r="F113" i="78"/>
  <c r="E113" i="78"/>
  <c r="D113" i="78"/>
  <c r="C113" i="78"/>
  <c r="L112" i="78"/>
  <c r="K112" i="78"/>
  <c r="J112" i="78"/>
  <c r="I112" i="78"/>
  <c r="H112" i="78"/>
  <c r="G112" i="78"/>
  <c r="F112" i="78"/>
  <c r="E112" i="78"/>
  <c r="D112" i="78"/>
  <c r="C112" i="78"/>
  <c r="L111" i="78"/>
  <c r="K111" i="78"/>
  <c r="J111" i="78"/>
  <c r="I111" i="78"/>
  <c r="H111" i="78"/>
  <c r="G111" i="78"/>
  <c r="F111" i="78"/>
  <c r="E111" i="78"/>
  <c r="D111" i="78"/>
  <c r="C111" i="78"/>
  <c r="L110" i="78"/>
  <c r="K110" i="78"/>
  <c r="J110" i="78"/>
  <c r="I110" i="78"/>
  <c r="H110" i="78"/>
  <c r="G110" i="78"/>
  <c r="F110" i="78"/>
  <c r="E110" i="78"/>
  <c r="D110" i="78"/>
  <c r="C110" i="78"/>
  <c r="F108" i="78"/>
  <c r="E108" i="78"/>
  <c r="D108" i="78"/>
  <c r="C108" i="78"/>
  <c r="L107" i="78"/>
  <c r="K107" i="78"/>
  <c r="J107" i="78"/>
  <c r="I107" i="78"/>
  <c r="H107" i="78"/>
  <c r="G107" i="78"/>
  <c r="F107" i="78"/>
  <c r="E107" i="78"/>
  <c r="D107" i="78"/>
  <c r="C107" i="78"/>
  <c r="L106" i="78"/>
  <c r="K106" i="78"/>
  <c r="J106" i="78"/>
  <c r="I106" i="78"/>
  <c r="H106" i="78"/>
  <c r="G106" i="78"/>
  <c r="F106" i="78"/>
  <c r="E106" i="78"/>
  <c r="D106" i="78"/>
  <c r="C106" i="78"/>
  <c r="F105" i="78"/>
  <c r="E105" i="78"/>
  <c r="D105" i="78"/>
  <c r="C105" i="78"/>
  <c r="C104" i="78"/>
  <c r="F102" i="78"/>
  <c r="E102" i="78"/>
  <c r="D102" i="78"/>
  <c r="C102" i="78"/>
  <c r="F101" i="78"/>
  <c r="E101" i="78"/>
  <c r="D101" i="78"/>
  <c r="C101" i="78"/>
  <c r="L98" i="78"/>
  <c r="K98" i="78"/>
  <c r="J98" i="78"/>
  <c r="I98" i="78"/>
  <c r="H98" i="78"/>
  <c r="G98" i="78"/>
  <c r="F98" i="78"/>
  <c r="E98" i="78"/>
  <c r="L97" i="78"/>
  <c r="K97" i="78"/>
  <c r="J97" i="78"/>
  <c r="I97" i="78"/>
  <c r="F95" i="78"/>
  <c r="E95" i="78"/>
  <c r="D95" i="78"/>
  <c r="C95" i="78"/>
  <c r="L94" i="78"/>
  <c r="K94" i="78"/>
  <c r="J94" i="78"/>
  <c r="I94" i="78"/>
  <c r="H94" i="78"/>
  <c r="G94" i="78"/>
  <c r="F94" i="78"/>
  <c r="E94" i="78"/>
  <c r="D94" i="78"/>
  <c r="C94" i="78"/>
  <c r="L93" i="78"/>
  <c r="K93" i="78"/>
  <c r="J93" i="78"/>
  <c r="I93" i="78"/>
  <c r="H93" i="78"/>
  <c r="G93" i="78"/>
  <c r="F93" i="78"/>
  <c r="E93" i="78"/>
  <c r="D93" i="78"/>
  <c r="C93" i="78"/>
  <c r="L92" i="78"/>
  <c r="K92" i="78"/>
  <c r="J92" i="78"/>
  <c r="I92" i="78"/>
  <c r="H92" i="78"/>
  <c r="G92" i="78"/>
  <c r="F92" i="78"/>
  <c r="E92" i="78"/>
  <c r="D92" i="78"/>
  <c r="C92" i="78"/>
  <c r="L91" i="78"/>
  <c r="K91" i="78"/>
  <c r="J91" i="78"/>
  <c r="I91" i="78"/>
  <c r="H91" i="78"/>
  <c r="G91" i="78"/>
  <c r="F91" i="78"/>
  <c r="E91" i="78"/>
  <c r="D91" i="78"/>
  <c r="C91" i="78"/>
  <c r="L90" i="78"/>
  <c r="K90" i="78"/>
  <c r="J90" i="78"/>
  <c r="I90" i="78"/>
  <c r="H90" i="78"/>
  <c r="G90" i="78"/>
  <c r="F90" i="78"/>
  <c r="E90" i="78"/>
  <c r="D90" i="78"/>
  <c r="C90" i="78"/>
  <c r="L89" i="78"/>
  <c r="K89" i="78"/>
  <c r="J89" i="78"/>
  <c r="I89" i="78"/>
  <c r="H89" i="78"/>
  <c r="G89" i="78"/>
  <c r="F89" i="78"/>
  <c r="E89" i="78"/>
  <c r="D89" i="78"/>
  <c r="C89" i="78"/>
  <c r="L88" i="78"/>
  <c r="K88" i="78"/>
  <c r="J88" i="78"/>
  <c r="I88" i="78"/>
  <c r="H88" i="78"/>
  <c r="G88" i="78"/>
  <c r="F88" i="78"/>
  <c r="E88" i="78"/>
  <c r="D88" i="78"/>
  <c r="C88" i="78"/>
  <c r="L87" i="78"/>
  <c r="K87" i="78"/>
  <c r="J87" i="78"/>
  <c r="I87" i="78"/>
  <c r="H87" i="78"/>
  <c r="G87" i="78"/>
  <c r="F87" i="78"/>
  <c r="E87" i="78"/>
  <c r="D87" i="78"/>
  <c r="C87" i="78"/>
  <c r="H86" i="78"/>
  <c r="G86" i="78"/>
  <c r="F86" i="78"/>
  <c r="E86" i="78"/>
  <c r="D86" i="78"/>
  <c r="C86" i="78"/>
  <c r="F85" i="78"/>
  <c r="E85" i="78"/>
  <c r="D85" i="78"/>
  <c r="C85" i="78"/>
  <c r="F84" i="78"/>
  <c r="E84" i="78"/>
  <c r="D84" i="78"/>
  <c r="C84" i="78"/>
  <c r="F83" i="78"/>
  <c r="E83" i="78"/>
  <c r="D83" i="78"/>
  <c r="C83" i="78"/>
  <c r="C82" i="78"/>
  <c r="F80" i="78"/>
  <c r="E80" i="78"/>
  <c r="D80" i="78"/>
  <c r="C80" i="78"/>
  <c r="L79" i="78"/>
  <c r="K79" i="78"/>
  <c r="J79" i="78"/>
  <c r="I79" i="78"/>
  <c r="H79" i="78"/>
  <c r="G79" i="78"/>
  <c r="F79" i="78"/>
  <c r="E79" i="78"/>
  <c r="D79" i="78"/>
  <c r="C79" i="78"/>
  <c r="F77" i="78"/>
  <c r="E77" i="78"/>
  <c r="D77" i="78"/>
  <c r="C77" i="78"/>
  <c r="F75" i="78"/>
  <c r="E75" i="78"/>
  <c r="D75" i="78"/>
  <c r="C75" i="78"/>
  <c r="F74" i="78"/>
  <c r="E74" i="78"/>
  <c r="D74" i="78"/>
  <c r="C74" i="78"/>
  <c r="F72" i="78"/>
  <c r="E72" i="78"/>
  <c r="D72" i="78"/>
  <c r="C72" i="78"/>
  <c r="L71" i="78"/>
  <c r="K71" i="78"/>
  <c r="J71" i="78"/>
  <c r="I71" i="78"/>
  <c r="H71" i="78"/>
  <c r="G71" i="78"/>
  <c r="F71" i="78"/>
  <c r="E71" i="78"/>
  <c r="D71" i="78"/>
  <c r="C71" i="78"/>
  <c r="L70" i="78"/>
  <c r="K70" i="78"/>
  <c r="J70" i="78"/>
  <c r="I70" i="78"/>
  <c r="H70" i="78"/>
  <c r="G70" i="78"/>
  <c r="F70" i="78"/>
  <c r="E70" i="78"/>
  <c r="D70" i="78"/>
  <c r="C70" i="78"/>
  <c r="F69" i="78"/>
  <c r="E69" i="78"/>
  <c r="D69" i="78"/>
  <c r="C69" i="78"/>
  <c r="F68" i="78"/>
  <c r="E68" i="78"/>
  <c r="D68" i="78"/>
  <c r="C68" i="78"/>
  <c r="F66" i="78"/>
  <c r="E66" i="78"/>
  <c r="D66" i="78"/>
  <c r="C66" i="78"/>
  <c r="H65" i="78"/>
  <c r="G65" i="78"/>
  <c r="F65" i="78"/>
  <c r="E65" i="78"/>
  <c r="D65" i="78"/>
  <c r="C65" i="78"/>
  <c r="F64" i="78"/>
  <c r="E64" i="78"/>
  <c r="D64" i="78"/>
  <c r="C64" i="78"/>
  <c r="C63" i="78"/>
  <c r="F61" i="78"/>
  <c r="E61" i="78"/>
  <c r="D61" i="78"/>
  <c r="C61" i="78"/>
  <c r="F60" i="78"/>
  <c r="E60" i="78"/>
  <c r="D60" i="78"/>
  <c r="C60" i="78"/>
  <c r="K58" i="78"/>
  <c r="J58" i="78"/>
  <c r="I58" i="78"/>
  <c r="F58" i="78"/>
  <c r="E58" i="78"/>
  <c r="D58" i="78"/>
  <c r="C58" i="78"/>
  <c r="F57" i="78"/>
  <c r="E57" i="78"/>
  <c r="D57" i="78"/>
  <c r="C57" i="78"/>
  <c r="L55" i="78"/>
  <c r="K55" i="78"/>
  <c r="J55" i="78"/>
  <c r="I55" i="78"/>
  <c r="H55" i="78"/>
  <c r="G55" i="78"/>
  <c r="F55" i="78"/>
  <c r="E55" i="78"/>
  <c r="D55" i="78"/>
  <c r="C55" i="78"/>
  <c r="I54" i="78"/>
  <c r="H54" i="78"/>
  <c r="G54" i="78"/>
  <c r="F54" i="78"/>
  <c r="E54" i="78"/>
  <c r="D54" i="78"/>
  <c r="C54" i="78"/>
  <c r="L51" i="78"/>
  <c r="K51" i="78"/>
  <c r="J51" i="78"/>
  <c r="I51" i="78"/>
  <c r="H51" i="78"/>
  <c r="G51" i="78"/>
  <c r="F51" i="78"/>
  <c r="E51" i="78"/>
  <c r="L50" i="78"/>
  <c r="K50" i="78"/>
  <c r="J50" i="78"/>
  <c r="I50" i="78"/>
  <c r="F45" i="78"/>
  <c r="E45" i="78"/>
  <c r="D45" i="78"/>
  <c r="C45" i="78"/>
  <c r="L43" i="78"/>
  <c r="K43" i="78"/>
  <c r="J43" i="78"/>
  <c r="I43" i="78"/>
  <c r="H43" i="78"/>
  <c r="G43" i="78"/>
  <c r="F43" i="78"/>
  <c r="E43" i="78"/>
  <c r="D43" i="78"/>
  <c r="C43" i="78"/>
  <c r="F41" i="78"/>
  <c r="E41" i="78"/>
  <c r="D41" i="78"/>
  <c r="C41" i="78"/>
  <c r="F40" i="78"/>
  <c r="E40" i="78"/>
  <c r="D40" i="78"/>
  <c r="C40" i="78"/>
  <c r="L39" i="78"/>
  <c r="K39" i="78"/>
  <c r="J39" i="78"/>
  <c r="I39" i="78"/>
  <c r="H39" i="78"/>
  <c r="G39" i="78"/>
  <c r="F39" i="78"/>
  <c r="E39" i="78"/>
  <c r="D39" i="78"/>
  <c r="C39" i="78"/>
  <c r="C38" i="78"/>
  <c r="F36" i="78"/>
  <c r="E36" i="78"/>
  <c r="D36" i="78"/>
  <c r="C36" i="78"/>
  <c r="L35" i="78"/>
  <c r="K35" i="78"/>
  <c r="J35" i="78"/>
  <c r="I35" i="78"/>
  <c r="H35" i="78"/>
  <c r="G35" i="78"/>
  <c r="F35" i="78"/>
  <c r="E35" i="78"/>
  <c r="D35" i="78"/>
  <c r="C35" i="78"/>
  <c r="L34" i="78"/>
  <c r="K34" i="78"/>
  <c r="J34" i="78"/>
  <c r="I34" i="78"/>
  <c r="H34" i="78"/>
  <c r="G34" i="78"/>
  <c r="F34" i="78"/>
  <c r="E34" i="78"/>
  <c r="D34" i="78"/>
  <c r="C34" i="78"/>
  <c r="L33" i="78"/>
  <c r="K33" i="78"/>
  <c r="J33" i="78"/>
  <c r="I33" i="78"/>
  <c r="H33" i="78"/>
  <c r="G33" i="78"/>
  <c r="F33" i="78"/>
  <c r="E33" i="78"/>
  <c r="D33" i="78"/>
  <c r="C33" i="78"/>
  <c r="L32" i="78"/>
  <c r="K32" i="78"/>
  <c r="J32" i="78"/>
  <c r="I32" i="78"/>
  <c r="H32" i="78"/>
  <c r="G32" i="78"/>
  <c r="F32" i="78"/>
  <c r="E32" i="78"/>
  <c r="D32" i="78"/>
  <c r="C32" i="78"/>
  <c r="F31" i="78"/>
  <c r="E31" i="78"/>
  <c r="D31" i="78"/>
  <c r="C31" i="78"/>
  <c r="F30" i="78"/>
  <c r="E30" i="78"/>
  <c r="D30" i="78"/>
  <c r="C30" i="78"/>
  <c r="G28" i="78"/>
  <c r="F28" i="78"/>
  <c r="E28" i="78"/>
  <c r="D28" i="78"/>
  <c r="C28" i="78"/>
  <c r="L27" i="78"/>
  <c r="K27" i="78"/>
  <c r="J27" i="78"/>
  <c r="I27" i="78"/>
  <c r="H27" i="78"/>
  <c r="G27" i="78"/>
  <c r="F27" i="78"/>
  <c r="E27" i="78"/>
  <c r="D27" i="78"/>
  <c r="C27" i="78"/>
  <c r="L26" i="78"/>
  <c r="K26" i="78"/>
  <c r="J26" i="78"/>
  <c r="I26" i="78"/>
  <c r="H26" i="78"/>
  <c r="G26" i="78"/>
  <c r="F26" i="78"/>
  <c r="E26" i="78"/>
  <c r="D26" i="78"/>
  <c r="C26" i="78"/>
  <c r="G25" i="78"/>
  <c r="F25" i="78"/>
  <c r="E25" i="78"/>
  <c r="D25" i="78"/>
  <c r="C25" i="78"/>
  <c r="G24" i="78"/>
  <c r="F24" i="78"/>
  <c r="E24" i="78"/>
  <c r="D24" i="78"/>
  <c r="C24" i="78"/>
  <c r="C23" i="78"/>
  <c r="C21" i="78"/>
  <c r="F19" i="78"/>
  <c r="E19" i="78"/>
  <c r="D19" i="78"/>
  <c r="C19" i="78"/>
  <c r="L18" i="78"/>
  <c r="K18" i="78"/>
  <c r="J18" i="78"/>
  <c r="I18" i="78"/>
  <c r="H18" i="78"/>
  <c r="G18" i="78"/>
  <c r="F18" i="78"/>
  <c r="E18" i="78"/>
  <c r="D18" i="78"/>
  <c r="C18" i="78"/>
  <c r="L17" i="78"/>
  <c r="K17" i="78"/>
  <c r="J17" i="78"/>
  <c r="I17" i="78"/>
  <c r="H17" i="78"/>
  <c r="G17" i="78"/>
  <c r="F17" i="78"/>
  <c r="E17" i="78"/>
  <c r="D17" i="78"/>
  <c r="C17" i="78"/>
  <c r="L16" i="78"/>
  <c r="K16" i="78"/>
  <c r="J16" i="78"/>
  <c r="I16" i="78"/>
  <c r="H16" i="78"/>
  <c r="G16" i="78"/>
  <c r="F16" i="78"/>
  <c r="E16" i="78"/>
  <c r="D16" i="78"/>
  <c r="C16" i="78"/>
  <c r="L15" i="78"/>
  <c r="K15" i="78"/>
  <c r="J15" i="78"/>
  <c r="I15" i="78"/>
  <c r="H15" i="78"/>
  <c r="G15" i="78"/>
  <c r="F15" i="78"/>
  <c r="E15" i="78"/>
  <c r="D15" i="78"/>
  <c r="C15" i="78"/>
  <c r="H14" i="78"/>
  <c r="G14" i="78"/>
  <c r="F14" i="78"/>
  <c r="E14" i="78"/>
  <c r="D14" i="78"/>
  <c r="C14" i="78"/>
  <c r="F12" i="78"/>
  <c r="E12" i="78"/>
  <c r="D12" i="78"/>
  <c r="C12" i="78"/>
  <c r="H11" i="78"/>
  <c r="G11" i="78"/>
  <c r="F11" i="78"/>
  <c r="E11" i="78"/>
  <c r="D11" i="78"/>
  <c r="C11" i="78"/>
  <c r="F10" i="78"/>
  <c r="E10" i="78"/>
  <c r="D10" i="78"/>
  <c r="C10" i="78"/>
  <c r="H9" i="78"/>
  <c r="G9" i="78"/>
  <c r="F9" i="78"/>
  <c r="E9" i="78"/>
  <c r="D9" i="78"/>
  <c r="C9" i="78"/>
  <c r="G8" i="78"/>
  <c r="F8" i="78"/>
  <c r="E8" i="78"/>
  <c r="D8" i="78"/>
  <c r="C8" i="78"/>
  <c r="F7" i="78"/>
  <c r="E7" i="78"/>
  <c r="D7" i="78"/>
  <c r="C7" i="78"/>
  <c r="C6" i="78"/>
  <c r="L4" i="78"/>
  <c r="K4" i="78"/>
  <c r="J4" i="78"/>
  <c r="I4" i="78"/>
  <c r="H4" i="78"/>
  <c r="G4" i="78"/>
  <c r="F4" i="78"/>
  <c r="E4" i="78"/>
  <c r="L3" i="78"/>
  <c r="K3" i="78"/>
  <c r="J3" i="78"/>
  <c r="I3" i="78"/>
  <c r="Y25" i="74"/>
  <c r="X25" i="74"/>
  <c r="W25" i="74"/>
  <c r="V25" i="74"/>
  <c r="R25" i="74"/>
  <c r="Q25" i="74"/>
  <c r="P25" i="74"/>
  <c r="O25" i="74"/>
  <c r="K25" i="74"/>
  <c r="J25" i="74"/>
  <c r="I25" i="74"/>
  <c r="H25" i="74"/>
  <c r="D25" i="74"/>
  <c r="C25" i="74"/>
  <c r="M22" i="74"/>
  <c r="K22" i="74"/>
  <c r="J22" i="74"/>
  <c r="I22" i="74"/>
  <c r="H22" i="74"/>
  <c r="F22" i="74"/>
  <c r="E22" i="74"/>
  <c r="D22" i="74"/>
  <c r="C22" i="74"/>
  <c r="M20" i="74"/>
  <c r="K20" i="74"/>
  <c r="J20" i="74"/>
  <c r="I20" i="74"/>
  <c r="H20" i="74"/>
  <c r="F20" i="74"/>
  <c r="E20" i="74"/>
  <c r="D20" i="74"/>
  <c r="C20" i="74"/>
  <c r="K18" i="74"/>
  <c r="J18" i="74"/>
  <c r="I18" i="74"/>
  <c r="H18" i="74"/>
  <c r="F18" i="74"/>
  <c r="E18" i="74"/>
  <c r="D18" i="74"/>
  <c r="C18" i="74"/>
  <c r="M17" i="74"/>
  <c r="K17" i="74"/>
  <c r="J17" i="74"/>
  <c r="I17" i="74"/>
  <c r="H17" i="74"/>
  <c r="F17" i="74"/>
  <c r="E17" i="74"/>
  <c r="D17" i="74"/>
  <c r="C17" i="74"/>
  <c r="K15" i="74"/>
  <c r="J15" i="74"/>
  <c r="I15" i="74"/>
  <c r="H15" i="74"/>
  <c r="F15" i="74"/>
  <c r="E15" i="74"/>
  <c r="D15" i="74"/>
  <c r="C15" i="74"/>
  <c r="M14" i="74"/>
  <c r="K14" i="74"/>
  <c r="J14" i="74"/>
  <c r="I14" i="74"/>
  <c r="H14" i="74"/>
  <c r="F14" i="74"/>
  <c r="E14" i="74"/>
  <c r="D14" i="74"/>
  <c r="C14" i="74"/>
  <c r="K12" i="74"/>
  <c r="J12" i="74"/>
  <c r="I12" i="74"/>
  <c r="H12" i="74"/>
  <c r="F12" i="74"/>
  <c r="E12" i="74"/>
  <c r="D12" i="74"/>
  <c r="C12" i="74"/>
  <c r="M11" i="74"/>
  <c r="K11" i="74"/>
  <c r="J11" i="74"/>
  <c r="I11" i="74"/>
  <c r="H11" i="74"/>
  <c r="F11" i="74"/>
  <c r="E11" i="74"/>
  <c r="D11" i="74"/>
  <c r="C11" i="74"/>
  <c r="K9" i="74"/>
  <c r="J9" i="74"/>
  <c r="I9" i="74"/>
  <c r="H9" i="74"/>
  <c r="F9" i="74"/>
  <c r="E9" i="74"/>
  <c r="D9" i="74"/>
  <c r="C9" i="74"/>
  <c r="M8" i="74"/>
  <c r="K8" i="74"/>
  <c r="J8" i="74"/>
  <c r="I8" i="74"/>
  <c r="H8" i="74"/>
  <c r="F8" i="74"/>
  <c r="E8" i="74"/>
  <c r="D8" i="74"/>
  <c r="C8" i="74"/>
  <c r="W6" i="74"/>
  <c r="V6" i="74"/>
  <c r="Q6" i="74"/>
  <c r="X6" i="74" s="1"/>
  <c r="P6" i="74"/>
  <c r="O6" i="74"/>
  <c r="K6" i="74"/>
  <c r="J6" i="74"/>
  <c r="I6" i="74"/>
  <c r="H6" i="74"/>
  <c r="X5" i="74"/>
  <c r="W5" i="74"/>
  <c r="V5" i="74"/>
  <c r="Q5" i="74"/>
  <c r="P5" i="74"/>
  <c r="O5" i="74"/>
  <c r="M5" i="74"/>
  <c r="K5" i="74"/>
  <c r="J5" i="74"/>
  <c r="I5" i="74"/>
  <c r="H5" i="74"/>
  <c r="F5" i="74"/>
  <c r="E5" i="74"/>
  <c r="D5" i="74"/>
  <c r="C5" i="74"/>
  <c r="Y3" i="74"/>
  <c r="X3" i="74"/>
  <c r="W3" i="74"/>
  <c r="V3" i="74"/>
  <c r="R3" i="74"/>
  <c r="Q3" i="74"/>
  <c r="P3" i="74"/>
  <c r="O3" i="74"/>
  <c r="K3" i="74"/>
  <c r="J3" i="74"/>
  <c r="I3" i="74"/>
  <c r="H3" i="74"/>
  <c r="F3" i="74"/>
  <c r="E3" i="74"/>
  <c r="D3" i="74"/>
  <c r="L20" i="18"/>
  <c r="G20" i="18"/>
  <c r="L19" i="18"/>
  <c r="G19" i="18"/>
  <c r="G18" i="18"/>
  <c r="L17" i="18"/>
  <c r="L16" i="18"/>
  <c r="D16" i="18"/>
  <c r="L15" i="18"/>
  <c r="G15" i="18"/>
  <c r="D15" i="18"/>
  <c r="L14" i="18"/>
  <c r="G13" i="18"/>
  <c r="F13" i="18"/>
  <c r="L12" i="18"/>
  <c r="I12" i="18"/>
  <c r="G12" i="18"/>
  <c r="F12" i="18"/>
  <c r="C8" i="18"/>
  <c r="C7" i="18"/>
  <c r="O11" i="83" l="1"/>
  <c r="O12" i="83" s="1"/>
  <c r="F19" i="73"/>
  <c r="I62" i="39"/>
  <c r="I11" i="39" s="1"/>
  <c r="I8" i="78" s="1"/>
  <c r="I47" i="40"/>
  <c r="I49" i="40" s="1"/>
  <c r="I24" i="40" s="1"/>
  <c r="I65" i="39"/>
  <c r="I12" i="39" s="1"/>
  <c r="I71" i="39"/>
  <c r="I14" i="39" s="1"/>
  <c r="J12" i="23"/>
  <c r="J122" i="23"/>
  <c r="K9" i="23"/>
  <c r="F16" i="8"/>
  <c r="F17" i="8" s="1"/>
  <c r="M29" i="70"/>
  <c r="M30" i="70"/>
  <c r="N30" i="70"/>
  <c r="K65" i="70"/>
  <c r="N69" i="70" s="1"/>
  <c r="O69" i="70" s="1"/>
  <c r="H29" i="71" s="1"/>
  <c r="H30" i="71" s="1"/>
  <c r="H14" i="71" s="1"/>
  <c r="H20" i="71" s="1"/>
  <c r="H21" i="71" s="1"/>
  <c r="N15" i="70"/>
  <c r="N16" i="70" s="1"/>
  <c r="L16" i="70"/>
  <c r="K17" i="70"/>
  <c r="N21" i="70" s="1"/>
  <c r="O21" i="70" s="1"/>
  <c r="N28" i="70"/>
  <c r="N29" i="70" s="1"/>
  <c r="L29" i="70"/>
  <c r="K16" i="70"/>
  <c r="K29" i="70"/>
  <c r="L64" i="70"/>
  <c r="M13" i="70"/>
  <c r="M26" i="70"/>
  <c r="K30" i="70"/>
  <c r="N34" i="70" s="1"/>
  <c r="O34" i="70" s="1"/>
  <c r="L65" i="70"/>
  <c r="N55" i="70"/>
  <c r="G29" i="71"/>
  <c r="G30" i="71" s="1"/>
  <c r="G14" i="71" s="1"/>
  <c r="G20" i="71" s="1"/>
  <c r="G21" i="71" s="1"/>
  <c r="O54" i="70"/>
  <c r="K42" i="70"/>
  <c r="O65" i="70"/>
  <c r="O39" i="70"/>
  <c r="M43" i="70"/>
  <c r="O38" i="70"/>
  <c r="O55" i="70"/>
  <c r="K54" i="70"/>
  <c r="M40" i="70"/>
  <c r="N41" i="70"/>
  <c r="N43" i="70" s="1"/>
  <c r="L42" i="70"/>
  <c r="M51" i="70"/>
  <c r="M64" i="70" s="1"/>
  <c r="N52" i="70"/>
  <c r="N54" i="70" s="1"/>
  <c r="K55" i="70"/>
  <c r="N59" i="70" s="1"/>
  <c r="O59" i="70" s="1"/>
  <c r="K64" i="70"/>
  <c r="L54" i="70"/>
  <c r="M39" i="70"/>
  <c r="M42" i="70"/>
  <c r="K43" i="70"/>
  <c r="N47" i="70" s="1"/>
  <c r="O47" i="70" s="1"/>
  <c r="L43" i="70"/>
  <c r="G68" i="39"/>
  <c r="U13" i="39"/>
  <c r="U17" i="40"/>
  <c r="T17" i="40"/>
  <c r="U74" i="39"/>
  <c r="U75" i="39" s="1"/>
  <c r="V69" i="39"/>
  <c r="T75" i="39"/>
  <c r="T86" i="39"/>
  <c r="W63" i="39"/>
  <c r="V62" i="39"/>
  <c r="T15" i="40"/>
  <c r="G15" i="40"/>
  <c r="G135" i="78" s="1"/>
  <c r="G62" i="39"/>
  <c r="K66" i="39"/>
  <c r="L63" i="39"/>
  <c r="AC19" i="23"/>
  <c r="AC21" i="23" s="1"/>
  <c r="AC24" i="23" s="1"/>
  <c r="AD19" i="23"/>
  <c r="AD21" i="23" s="1"/>
  <c r="AD24" i="23" s="1"/>
  <c r="Z21" i="23"/>
  <c r="Z24" i="23" s="1"/>
  <c r="H19" i="23"/>
  <c r="H21" i="23" s="1"/>
  <c r="Y22" i="23"/>
  <c r="AB22" i="23"/>
  <c r="L58" i="78"/>
  <c r="Z16" i="23"/>
  <c r="AA15" i="23"/>
  <c r="Y81" i="39"/>
  <c r="AB13" i="23"/>
  <c r="Y78" i="39"/>
  <c r="Y16" i="23"/>
  <c r="Y27" i="23"/>
  <c r="X20" i="40"/>
  <c r="H12" i="23"/>
  <c r="X78" i="39"/>
  <c r="O16" i="70"/>
  <c r="O64" i="70"/>
  <c r="O17" i="70"/>
  <c r="D42" i="40"/>
  <c r="E39" i="40" s="1"/>
  <c r="E157" i="78" s="1"/>
  <c r="D158" i="78"/>
  <c r="E155" i="78"/>
  <c r="J15" i="23" l="1"/>
  <c r="I59" i="39"/>
  <c r="I57" i="78"/>
  <c r="I18" i="40"/>
  <c r="I138" i="78" s="1"/>
  <c r="I11" i="78"/>
  <c r="I16" i="40"/>
  <c r="I136" i="78" s="1"/>
  <c r="I9" i="78"/>
  <c r="I144" i="78"/>
  <c r="I26" i="40"/>
  <c r="F28" i="8"/>
  <c r="F30" i="73"/>
  <c r="J92" i="23"/>
  <c r="G18" i="73"/>
  <c r="G16" i="8"/>
  <c r="G17" i="8" s="1"/>
  <c r="L9" i="23"/>
  <c r="J54" i="78"/>
  <c r="K122" i="23"/>
  <c r="J58" i="39"/>
  <c r="K12" i="23"/>
  <c r="J47" i="40"/>
  <c r="J49" i="40" s="1"/>
  <c r="J24" i="40" s="1"/>
  <c r="R5" i="74"/>
  <c r="M17" i="70"/>
  <c r="O20" i="70" s="1"/>
  <c r="O22" i="70" s="1"/>
  <c r="M16" i="70"/>
  <c r="O33" i="70"/>
  <c r="O35" i="70" s="1"/>
  <c r="N33" i="70"/>
  <c r="N35" i="70" s="1"/>
  <c r="N17" i="70"/>
  <c r="O43" i="70"/>
  <c r="O42" i="70"/>
  <c r="M55" i="70"/>
  <c r="M54" i="70"/>
  <c r="M65" i="70"/>
  <c r="N64" i="70"/>
  <c r="O46" i="70"/>
  <c r="O48" i="70" s="1"/>
  <c r="N46" i="70"/>
  <c r="N48" i="70" s="1"/>
  <c r="N42" i="70"/>
  <c r="N65" i="70"/>
  <c r="V68" i="39"/>
  <c r="V13" i="39" s="1"/>
  <c r="W69" i="39"/>
  <c r="U86" i="39"/>
  <c r="U88" i="39" s="1"/>
  <c r="G13" i="39"/>
  <c r="W62" i="39"/>
  <c r="X63" i="39"/>
  <c r="V11" i="39"/>
  <c r="G74" i="39"/>
  <c r="G63" i="39"/>
  <c r="T88" i="39"/>
  <c r="L66" i="39"/>
  <c r="AD22" i="23"/>
  <c r="Z27" i="23"/>
  <c r="AC22" i="23"/>
  <c r="I19" i="23"/>
  <c r="I25" i="23" s="1"/>
  <c r="H22" i="23"/>
  <c r="H25" i="23"/>
  <c r="G64" i="78"/>
  <c r="H24" i="23"/>
  <c r="G66" i="78"/>
  <c r="Y28" i="39"/>
  <c r="H81" i="39"/>
  <c r="AA27" i="23"/>
  <c r="AA16" i="23"/>
  <c r="Y84" i="39"/>
  <c r="H78" i="39"/>
  <c r="Y27" i="39"/>
  <c r="AB12" i="23"/>
  <c r="AC13" i="23"/>
  <c r="X84" i="39"/>
  <c r="X27" i="39"/>
  <c r="H13" i="23"/>
  <c r="G58" i="78" s="1"/>
  <c r="G59" i="39"/>
  <c r="G57" i="78"/>
  <c r="H15" i="23"/>
  <c r="E40" i="40"/>
  <c r="R6" i="74" l="1"/>
  <c r="Y6" i="74" s="1"/>
  <c r="T5" i="74"/>
  <c r="AA5" i="74" s="1"/>
  <c r="Y5" i="74"/>
  <c r="P11" i="83"/>
  <c r="P12" i="83" s="1"/>
  <c r="G19" i="73"/>
  <c r="R18" i="73"/>
  <c r="J26" i="40"/>
  <c r="G28" i="8"/>
  <c r="G30" i="73"/>
  <c r="K92" i="23"/>
  <c r="J144" i="78"/>
  <c r="K15" i="23"/>
  <c r="J59" i="39"/>
  <c r="J57" i="78"/>
  <c r="M97" i="23"/>
  <c r="L97" i="23"/>
  <c r="K97" i="23"/>
  <c r="J97" i="23"/>
  <c r="J101" i="23" s="1"/>
  <c r="I17" i="39" s="1"/>
  <c r="J81" i="39"/>
  <c r="J28" i="39" s="1"/>
  <c r="J71" i="39"/>
  <c r="J14" i="39" s="1"/>
  <c r="J65" i="39"/>
  <c r="J12" i="39" s="1"/>
  <c r="J62" i="39"/>
  <c r="J127" i="23"/>
  <c r="I146" i="78"/>
  <c r="I68" i="39"/>
  <c r="I78" i="39"/>
  <c r="L122" i="23"/>
  <c r="K58" i="39"/>
  <c r="L12" i="23"/>
  <c r="K47" i="40"/>
  <c r="K49" i="40" s="1"/>
  <c r="K24" i="40" s="1"/>
  <c r="H18" i="73"/>
  <c r="H16" i="8"/>
  <c r="H17" i="8" s="1"/>
  <c r="M9" i="23"/>
  <c r="K54" i="78"/>
  <c r="J16" i="23"/>
  <c r="I61" i="78" s="1"/>
  <c r="I60" i="78"/>
  <c r="Q8" i="74"/>
  <c r="N20" i="70"/>
  <c r="N22" i="70" s="1"/>
  <c r="O68" i="70"/>
  <c r="N68" i="70"/>
  <c r="O58" i="70"/>
  <c r="O60" i="70" s="1"/>
  <c r="N58" i="70"/>
  <c r="N60" i="70" s="1"/>
  <c r="V74" i="39"/>
  <c r="V86" i="39" s="1"/>
  <c r="V17" i="40"/>
  <c r="G17" i="40"/>
  <c r="G137" i="78" s="1"/>
  <c r="G10" i="78"/>
  <c r="X69" i="39"/>
  <c r="W68" i="39"/>
  <c r="W13" i="39" s="1"/>
  <c r="W17" i="40" s="1"/>
  <c r="G75" i="39"/>
  <c r="G86" i="39"/>
  <c r="G88" i="39" s="1"/>
  <c r="V15" i="40"/>
  <c r="V75" i="39"/>
  <c r="X62" i="39"/>
  <c r="Y63" i="39"/>
  <c r="Y62" i="39" s="1"/>
  <c r="W74" i="39"/>
  <c r="W11" i="39"/>
  <c r="I22" i="23"/>
  <c r="J22" i="23" s="1"/>
  <c r="K22" i="23" s="1"/>
  <c r="L22" i="23" s="1"/>
  <c r="M22" i="23" s="1"/>
  <c r="H64" i="78"/>
  <c r="I21" i="23"/>
  <c r="H66" i="78"/>
  <c r="I24" i="23"/>
  <c r="AC12" i="23"/>
  <c r="AC15" i="23" s="1"/>
  <c r="AD13" i="23"/>
  <c r="AD12" i="23" s="1"/>
  <c r="AD15" i="23" s="1"/>
  <c r="AB15" i="23"/>
  <c r="Y31" i="39"/>
  <c r="H27" i="39"/>
  <c r="H84" i="39"/>
  <c r="H28" i="39"/>
  <c r="Y20" i="40"/>
  <c r="G69" i="39"/>
  <c r="G82" i="39"/>
  <c r="G79" i="39"/>
  <c r="X19" i="40"/>
  <c r="Y19" i="40"/>
  <c r="X31" i="39"/>
  <c r="H16" i="23"/>
  <c r="G61" i="78" s="1"/>
  <c r="H27" i="23"/>
  <c r="G68" i="78" s="1"/>
  <c r="G60" i="78"/>
  <c r="O8" i="74"/>
  <c r="E42" i="40"/>
  <c r="E158" i="78"/>
  <c r="I14" i="78" l="1"/>
  <c r="I13" i="39"/>
  <c r="I74" i="39"/>
  <c r="I75" i="39" s="1"/>
  <c r="K81" i="39"/>
  <c r="K28" i="39" s="1"/>
  <c r="K71" i="39"/>
  <c r="K14" i="39" s="1"/>
  <c r="K18" i="40" s="1"/>
  <c r="K138" i="78" s="1"/>
  <c r="K62" i="39"/>
  <c r="K65" i="39"/>
  <c r="K12" i="39" s="1"/>
  <c r="K16" i="40" s="1"/>
  <c r="K136" i="78" s="1"/>
  <c r="J11" i="39"/>
  <c r="K127" i="23"/>
  <c r="J146" i="78"/>
  <c r="J11" i="78"/>
  <c r="J18" i="40"/>
  <c r="J138" i="78" s="1"/>
  <c r="J78" i="39"/>
  <c r="J68" i="39"/>
  <c r="J13" i="39" s="1"/>
  <c r="J25" i="78"/>
  <c r="J20" i="40"/>
  <c r="J140" i="78" s="1"/>
  <c r="R8" i="74"/>
  <c r="J60" i="78"/>
  <c r="K16" i="23"/>
  <c r="J61" i="78" s="1"/>
  <c r="J9" i="78"/>
  <c r="J16" i="40"/>
  <c r="J136" i="78" s="1"/>
  <c r="M122" i="23"/>
  <c r="L58" i="39"/>
  <c r="L47" i="40"/>
  <c r="L49" i="40" s="1"/>
  <c r="L24" i="40" s="1"/>
  <c r="I18" i="73"/>
  <c r="I16" i="8"/>
  <c r="L54" i="78"/>
  <c r="M12" i="23"/>
  <c r="M15" i="23" s="1"/>
  <c r="I27" i="39"/>
  <c r="I84" i="39"/>
  <c r="I86" i="39" s="1"/>
  <c r="J106" i="23"/>
  <c r="J20" i="23" s="1"/>
  <c r="J45" i="23"/>
  <c r="K26" i="40"/>
  <c r="H28" i="8"/>
  <c r="H30" i="73"/>
  <c r="L92" i="23"/>
  <c r="K144" i="78"/>
  <c r="Q11" i="83"/>
  <c r="Q12" i="83" s="1"/>
  <c r="H19" i="73"/>
  <c r="K98" i="23"/>
  <c r="K101" i="23" s="1"/>
  <c r="M98" i="23"/>
  <c r="L98" i="23"/>
  <c r="X8" i="74"/>
  <c r="Q9" i="74"/>
  <c r="X9" i="74" s="1"/>
  <c r="L15" i="23"/>
  <c r="K57" i="78"/>
  <c r="K59" i="39"/>
  <c r="N70" i="70"/>
  <c r="G9" i="71" s="1"/>
  <c r="G11" i="71" s="1"/>
  <c r="G13" i="71" s="1"/>
  <c r="G15" i="71" s="1"/>
  <c r="G23" i="71" s="1"/>
  <c r="G10" i="71"/>
  <c r="O70" i="70"/>
  <c r="H9" i="71" s="1"/>
  <c r="H11" i="71" s="1"/>
  <c r="H13" i="71" s="1"/>
  <c r="H15" i="71" s="1"/>
  <c r="H23" i="71" s="1"/>
  <c r="H10" i="71"/>
  <c r="Y69" i="39"/>
  <c r="Y68" i="39" s="1"/>
  <c r="X68" i="39"/>
  <c r="X13" i="39" s="1"/>
  <c r="X17" i="40"/>
  <c r="X11" i="39"/>
  <c r="Y15" i="40" s="1"/>
  <c r="X74" i="39"/>
  <c r="V88" i="39"/>
  <c r="Y11" i="39"/>
  <c r="H11" i="39" s="1"/>
  <c r="H62" i="39"/>
  <c r="Y74" i="39"/>
  <c r="X15" i="40"/>
  <c r="W15" i="40"/>
  <c r="D29" i="8"/>
  <c r="D31" i="73"/>
  <c r="W75" i="39"/>
  <c r="W86" i="39"/>
  <c r="W88" i="39" s="1"/>
  <c r="J19" i="23"/>
  <c r="I12" i="23"/>
  <c r="H57" i="78" s="1"/>
  <c r="J25" i="23"/>
  <c r="I64" i="78"/>
  <c r="K19" i="23"/>
  <c r="I19" i="40"/>
  <c r="I139" i="78" s="1"/>
  <c r="H19" i="40"/>
  <c r="H139" i="78" s="1"/>
  <c r="H31" i="39"/>
  <c r="H28" i="78" s="1"/>
  <c r="H24" i="78"/>
  <c r="AB27" i="23"/>
  <c r="AB16" i="23"/>
  <c r="H20" i="40"/>
  <c r="H140" i="78" s="1"/>
  <c r="H25" i="78"/>
  <c r="I20" i="40"/>
  <c r="I140" i="78" s="1"/>
  <c r="AD27" i="23"/>
  <c r="AD16" i="23"/>
  <c r="AC27" i="23"/>
  <c r="AC16" i="23"/>
  <c r="V8" i="74"/>
  <c r="O9" i="74"/>
  <c r="V9" i="74" s="1"/>
  <c r="F39" i="40"/>
  <c r="N39" i="40"/>
  <c r="N40" i="40" s="1"/>
  <c r="N42" i="40" s="1"/>
  <c r="O39" i="40" s="1"/>
  <c r="O40" i="40" s="1"/>
  <c r="O42" i="40" s="1"/>
  <c r="P39" i="40" s="1"/>
  <c r="P40" i="40" s="1"/>
  <c r="P42" i="40" s="1"/>
  <c r="Q39" i="40" s="1"/>
  <c r="Q40" i="40" s="1"/>
  <c r="Q42" i="40" s="1"/>
  <c r="R39" i="40" s="1"/>
  <c r="R40" i="40" s="1"/>
  <c r="R42" i="40" s="1"/>
  <c r="K9" i="78" l="1"/>
  <c r="K78" i="39"/>
  <c r="K68" i="39"/>
  <c r="K13" i="39" s="1"/>
  <c r="K10" i="78" s="1"/>
  <c r="I9" i="40"/>
  <c r="I130" i="78" s="1"/>
  <c r="I86" i="78"/>
  <c r="R11" i="83"/>
  <c r="R12" i="83" s="1"/>
  <c r="V18" i="73"/>
  <c r="I19" i="73"/>
  <c r="J18" i="73"/>
  <c r="F22" i="8"/>
  <c r="F26" i="8" s="1"/>
  <c r="I65" i="78"/>
  <c r="F24" i="73"/>
  <c r="F28" i="73" s="1"/>
  <c r="J23" i="23"/>
  <c r="I28" i="8"/>
  <c r="K28" i="8" s="1"/>
  <c r="I30" i="73"/>
  <c r="M92" i="23"/>
  <c r="M100" i="23" s="1"/>
  <c r="L144" i="78"/>
  <c r="L26" i="40"/>
  <c r="K11" i="39"/>
  <c r="K15" i="40" s="1"/>
  <c r="K135" i="78" s="1"/>
  <c r="K74" i="39"/>
  <c r="K60" i="78"/>
  <c r="L16" i="23"/>
  <c r="K61" i="78" s="1"/>
  <c r="K106" i="23"/>
  <c r="K20" i="23" s="1"/>
  <c r="K45" i="23"/>
  <c r="L81" i="39"/>
  <c r="L28" i="39" s="1"/>
  <c r="L71" i="39"/>
  <c r="L14" i="39" s="1"/>
  <c r="L11" i="78" s="1"/>
  <c r="L62" i="39"/>
  <c r="L65" i="39"/>
  <c r="L12" i="39" s="1"/>
  <c r="K11" i="78"/>
  <c r="I24" i="78"/>
  <c r="I31" i="39"/>
  <c r="I28" i="78" s="1"/>
  <c r="Y8" i="74"/>
  <c r="R9" i="74"/>
  <c r="Y9" i="74" s="1"/>
  <c r="T8" i="74"/>
  <c r="AA8" i="74" s="1"/>
  <c r="K25" i="78"/>
  <c r="K20" i="40"/>
  <c r="K140" i="78" s="1"/>
  <c r="M99" i="23"/>
  <c r="L99" i="23"/>
  <c r="L101" i="23" s="1"/>
  <c r="L60" i="78"/>
  <c r="M16" i="23"/>
  <c r="L61" i="78" s="1"/>
  <c r="L57" i="78"/>
  <c r="L59" i="39"/>
  <c r="I10" i="78"/>
  <c r="J17" i="40"/>
  <c r="J137" i="78" s="1"/>
  <c r="K17" i="40"/>
  <c r="K137" i="78" s="1"/>
  <c r="J10" i="78"/>
  <c r="J74" i="39"/>
  <c r="J17" i="39"/>
  <c r="J21" i="23"/>
  <c r="I66" i="78" s="1"/>
  <c r="L127" i="23"/>
  <c r="K146" i="78"/>
  <c r="K16" i="8"/>
  <c r="K17" i="8" s="1"/>
  <c r="I17" i="8"/>
  <c r="J27" i="39"/>
  <c r="J84" i="39"/>
  <c r="J15" i="40"/>
  <c r="J135" i="78" s="1"/>
  <c r="J8" i="78"/>
  <c r="G25" i="71"/>
  <c r="G26" i="71" s="1"/>
  <c r="H68" i="39"/>
  <c r="Y13" i="39"/>
  <c r="H13" i="39" s="1"/>
  <c r="Y17" i="40"/>
  <c r="Y75" i="39"/>
  <c r="Y86" i="39"/>
  <c r="H63" i="39"/>
  <c r="H74" i="39"/>
  <c r="H8" i="78"/>
  <c r="I15" i="40"/>
  <c r="I135" i="78" s="1"/>
  <c r="H15" i="40"/>
  <c r="H135" i="78" s="1"/>
  <c r="X86" i="39"/>
  <c r="X75" i="39"/>
  <c r="H59" i="39"/>
  <c r="H69" i="39" s="1"/>
  <c r="I15" i="23"/>
  <c r="I16" i="23" s="1"/>
  <c r="H61" i="78" s="1"/>
  <c r="I13" i="23"/>
  <c r="H58" i="78" s="1"/>
  <c r="K25" i="23"/>
  <c r="J64" i="78"/>
  <c r="K21" i="23"/>
  <c r="L19" i="23"/>
  <c r="M19" i="23"/>
  <c r="I27" i="23"/>
  <c r="H68" i="78" s="1"/>
  <c r="P8" i="74"/>
  <c r="H60" i="78"/>
  <c r="F40" i="40"/>
  <c r="F157" i="78"/>
  <c r="M101" i="23" l="1"/>
  <c r="J30" i="73"/>
  <c r="L106" i="23"/>
  <c r="L20" i="23" s="1"/>
  <c r="L45" i="23"/>
  <c r="M106" i="23"/>
  <c r="M20" i="23" s="1"/>
  <c r="M45" i="23"/>
  <c r="M127" i="23"/>
  <c r="L146" i="78"/>
  <c r="J14" i="78"/>
  <c r="K17" i="39"/>
  <c r="L25" i="78"/>
  <c r="L20" i="40"/>
  <c r="L140" i="78" s="1"/>
  <c r="J75" i="39"/>
  <c r="J86" i="39"/>
  <c r="J88" i="39" s="1"/>
  <c r="J9" i="40"/>
  <c r="J130" i="78" s="1"/>
  <c r="J86" i="78"/>
  <c r="J65" i="78"/>
  <c r="G24" i="73"/>
  <c r="G28" i="73" s="1"/>
  <c r="K23" i="23"/>
  <c r="G22" i="8"/>
  <c r="G26" i="8" s="1"/>
  <c r="J31" i="39"/>
  <c r="J28" i="78" s="1"/>
  <c r="J24" i="78"/>
  <c r="J19" i="40"/>
  <c r="J139" i="78" s="1"/>
  <c r="J27" i="23"/>
  <c r="I68" i="78" s="1"/>
  <c r="J24" i="23"/>
  <c r="L18" i="40"/>
  <c r="L138" i="78" s="1"/>
  <c r="K27" i="39"/>
  <c r="K84" i="39"/>
  <c r="K86" i="39" s="1"/>
  <c r="K88" i="39" s="1"/>
  <c r="L9" i="78"/>
  <c r="L16" i="40"/>
  <c r="L136" i="78" s="1"/>
  <c r="K75" i="39"/>
  <c r="K18" i="73"/>
  <c r="S11" i="83"/>
  <c r="L78" i="39"/>
  <c r="L68" i="39"/>
  <c r="L13" i="39" s="1"/>
  <c r="L11" i="39"/>
  <c r="L8" i="78" s="1"/>
  <c r="K8" i="78"/>
  <c r="D39" i="73"/>
  <c r="D37" i="8"/>
  <c r="H10" i="78"/>
  <c r="I17" i="40"/>
  <c r="I137" i="78" s="1"/>
  <c r="H17" i="40"/>
  <c r="H137" i="78" s="1"/>
  <c r="X88" i="39"/>
  <c r="Y88" i="39"/>
  <c r="H75" i="39"/>
  <c r="H86" i="39"/>
  <c r="H79" i="39"/>
  <c r="H82" i="39"/>
  <c r="L64" i="78"/>
  <c r="M21" i="23"/>
  <c r="M25" i="23"/>
  <c r="L25" i="23"/>
  <c r="K64" i="78"/>
  <c r="L21" i="23"/>
  <c r="J66" i="78"/>
  <c r="K24" i="23"/>
  <c r="K27" i="23"/>
  <c r="J68" i="78" s="1"/>
  <c r="W8" i="74"/>
  <c r="P9" i="74"/>
  <c r="W9" i="74" s="1"/>
  <c r="F42" i="40"/>
  <c r="G39" i="40" s="1"/>
  <c r="G157" i="78" s="1"/>
  <c r="F158" i="78"/>
  <c r="K30" i="73" l="1"/>
  <c r="S12" i="83"/>
  <c r="L15" i="40"/>
  <c r="L135" i="78" s="1"/>
  <c r="H29" i="8"/>
  <c r="H31" i="73"/>
  <c r="L17" i="39"/>
  <c r="L14" i="78" s="1"/>
  <c r="K14" i="78"/>
  <c r="L84" i="39"/>
  <c r="L27" i="39"/>
  <c r="K24" i="78"/>
  <c r="K31" i="39"/>
  <c r="K28" i="78" s="1"/>
  <c r="K19" i="40"/>
  <c r="K139" i="78" s="1"/>
  <c r="G29" i="8"/>
  <c r="G31" i="73"/>
  <c r="L10" i="78"/>
  <c r="L17" i="40"/>
  <c r="L137" i="78" s="1"/>
  <c r="L18" i="73"/>
  <c r="L30" i="73" s="1"/>
  <c r="T11" i="83"/>
  <c r="L9" i="40"/>
  <c r="L130" i="78" s="1"/>
  <c r="L86" i="78"/>
  <c r="I24" i="73"/>
  <c r="M23" i="23"/>
  <c r="I22" i="8"/>
  <c r="L65" i="78"/>
  <c r="L74" i="39"/>
  <c r="K9" i="40"/>
  <c r="K130" i="78" s="1"/>
  <c r="K86" i="78"/>
  <c r="K65" i="78"/>
  <c r="H24" i="73"/>
  <c r="H28" i="73" s="1"/>
  <c r="L23" i="23"/>
  <c r="H22" i="8"/>
  <c r="H26" i="8" s="1"/>
  <c r="J34" i="73"/>
  <c r="L34" i="73"/>
  <c r="O34" i="73"/>
  <c r="O35" i="73" s="1"/>
  <c r="M34" i="73"/>
  <c r="G34" i="73"/>
  <c r="I34" i="73"/>
  <c r="K34" i="73"/>
  <c r="F34" i="73"/>
  <c r="E34" i="73"/>
  <c r="P34" i="73"/>
  <c r="D42" i="73" s="1"/>
  <c r="N34" i="73"/>
  <c r="H34" i="73"/>
  <c r="D34" i="73"/>
  <c r="K32" i="8"/>
  <c r="D40" i="8" s="1"/>
  <c r="H32" i="8"/>
  <c r="D32" i="8"/>
  <c r="F32" i="8"/>
  <c r="G32" i="8"/>
  <c r="E32" i="8"/>
  <c r="I32" i="8"/>
  <c r="I88" i="39"/>
  <c r="H88" i="39"/>
  <c r="L24" i="23"/>
  <c r="K66" i="78"/>
  <c r="L27" i="23"/>
  <c r="M24" i="23"/>
  <c r="L66" i="78"/>
  <c r="M27" i="23"/>
  <c r="T12" i="83" l="1"/>
  <c r="I28" i="73"/>
  <c r="J24" i="73"/>
  <c r="L31" i="39"/>
  <c r="L28" i="78" s="1"/>
  <c r="L24" i="78"/>
  <c r="L19" i="40"/>
  <c r="L139" i="78" s="1"/>
  <c r="I26" i="8"/>
  <c r="K22" i="8"/>
  <c r="K26" i="8" s="1"/>
  <c r="T18" i="73"/>
  <c r="U11" i="83"/>
  <c r="M18" i="73"/>
  <c r="L75" i="39"/>
  <c r="L86" i="39"/>
  <c r="L88" i="39" s="1"/>
  <c r="E31" i="73"/>
  <c r="E29" i="8"/>
  <c r="F31" i="73"/>
  <c r="F29" i="8"/>
  <c r="L68" i="78"/>
  <c r="K68" i="78"/>
  <c r="U12" i="83" l="1"/>
  <c r="J28" i="73"/>
  <c r="K24" i="73"/>
  <c r="N18" i="73"/>
  <c r="V11" i="83"/>
  <c r="I29" i="8"/>
  <c r="K29" i="8" s="1"/>
  <c r="I31" i="73"/>
  <c r="J31" i="73" s="1"/>
  <c r="K31" i="73" s="1"/>
  <c r="L31" i="73" s="1"/>
  <c r="M31" i="73" s="1"/>
  <c r="M30" i="73"/>
  <c r="V12" i="83" l="1"/>
  <c r="N30" i="73"/>
  <c r="P30" i="73" s="1"/>
  <c r="N31" i="73"/>
  <c r="P31" i="73" s="1"/>
  <c r="K28" i="73"/>
  <c r="L24" i="73"/>
  <c r="W11" i="83"/>
  <c r="X18" i="73"/>
  <c r="P18" i="73"/>
  <c r="P19" i="73" s="1"/>
  <c r="W12" i="83" l="1"/>
  <c r="M24" i="73"/>
  <c r="L28" i="73"/>
  <c r="M28" i="73" l="1"/>
  <c r="N24" i="73"/>
  <c r="N28" i="73" l="1"/>
  <c r="P24" i="73"/>
  <c r="P28" i="73" s="1"/>
  <c r="M45" i="83"/>
  <c r="M48" i="83" s="1"/>
  <c r="M51" i="83" s="1"/>
  <c r="M54" i="83" s="1"/>
  <c r="N45" i="83" l="1"/>
  <c r="M60" i="83"/>
  <c r="M62" i="83" s="1"/>
  <c r="M66" i="83" s="1"/>
  <c r="M69" i="83" s="1"/>
  <c r="N60" i="83"/>
  <c r="N62" i="83" s="1"/>
  <c r="N66" i="83" s="1"/>
  <c r="N69" i="83" s="1"/>
  <c r="O45" i="83" l="1"/>
  <c r="N48" i="83"/>
  <c r="N51" i="83" s="1"/>
  <c r="N54" i="83" s="1"/>
  <c r="P45" i="83" l="1"/>
  <c r="O60" i="83"/>
  <c r="O62" i="83" s="1"/>
  <c r="O66" i="83" s="1"/>
  <c r="O48" i="83"/>
  <c r="O51" i="83" s="1"/>
  <c r="Q45" i="83" l="1"/>
  <c r="P48" i="83"/>
  <c r="P51" i="83" s="1"/>
  <c r="G7" i="84" s="1"/>
  <c r="P60" i="83"/>
  <c r="P62" i="83" s="1"/>
  <c r="P66" i="83" s="1"/>
  <c r="G11" i="84" s="1"/>
  <c r="Q48" i="83" l="1"/>
  <c r="Q51" i="83" s="1"/>
  <c r="R45" i="83"/>
  <c r="Q60" i="83"/>
  <c r="Q62" i="83" s="1"/>
  <c r="Q66" i="83" s="1"/>
  <c r="R48" i="83" l="1"/>
  <c r="R51" i="83" s="1"/>
  <c r="S45" i="83"/>
  <c r="R60" i="83"/>
  <c r="R62" i="83" s="1"/>
  <c r="R66" i="83" s="1"/>
  <c r="T45" i="83" l="1"/>
  <c r="S60" i="83"/>
  <c r="S62" i="83" s="1"/>
  <c r="S66" i="83" s="1"/>
  <c r="S48" i="83"/>
  <c r="S51" i="83" s="1"/>
  <c r="U45" i="83" l="1"/>
  <c r="T60" i="83"/>
  <c r="T62" i="83" s="1"/>
  <c r="T66" i="83" s="1"/>
  <c r="T48" i="83"/>
  <c r="T51" i="83" s="1"/>
  <c r="V45" i="83" l="1"/>
  <c r="U60" i="83"/>
  <c r="U62" i="83" s="1"/>
  <c r="U66" i="83" s="1"/>
  <c r="H11" i="84" s="1"/>
  <c r="U48" i="83"/>
  <c r="U51" i="83" s="1"/>
  <c r="H7" i="84" s="1"/>
  <c r="W45" i="83" l="1"/>
  <c r="V48" i="83"/>
  <c r="V51" i="83" s="1"/>
  <c r="V60" i="83"/>
  <c r="V62" i="83" s="1"/>
  <c r="V66" i="83" s="1"/>
  <c r="W60" i="83" l="1"/>
  <c r="W62" i="83" s="1"/>
  <c r="W66" i="83" s="1"/>
  <c r="W48" i="83"/>
  <c r="W51" i="83" s="1"/>
  <c r="O23" i="83"/>
  <c r="O68" i="83" l="1"/>
  <c r="O69" i="83" s="1"/>
  <c r="O36" i="83"/>
  <c r="P23" i="83"/>
  <c r="P36" i="83" s="1"/>
  <c r="P68" i="83" l="1"/>
  <c r="O26" i="83"/>
  <c r="O29" i="83"/>
  <c r="O14" i="83" s="1"/>
  <c r="O34" i="83" s="1"/>
  <c r="P69" i="83" l="1"/>
  <c r="G12" i="84"/>
  <c r="G13" i="84" s="1"/>
  <c r="O82" i="83"/>
  <c r="O83" i="83" s="1"/>
  <c r="O37" i="83"/>
  <c r="O30" i="83"/>
  <c r="O53" i="83"/>
  <c r="O54" i="83" s="1"/>
  <c r="O17" i="83"/>
  <c r="P26" i="83"/>
  <c r="P82" i="83" l="1"/>
  <c r="P37" i="83"/>
  <c r="O20" i="83"/>
  <c r="O35" i="83"/>
  <c r="P29" i="83"/>
  <c r="P14" i="83" s="1"/>
  <c r="Q23" i="83"/>
  <c r="P83" i="83" l="1"/>
  <c r="G16" i="84"/>
  <c r="G17" i="84" s="1"/>
  <c r="P53" i="83"/>
  <c r="P34" i="83"/>
  <c r="O21" i="83"/>
  <c r="O33" i="83"/>
  <c r="Q68" i="83"/>
  <c r="Q69" i="83" s="1"/>
  <c r="Q36" i="83"/>
  <c r="R23" i="83"/>
  <c r="P17" i="83"/>
  <c r="P30" i="83"/>
  <c r="P54" i="83" l="1"/>
  <c r="G8" i="84"/>
  <c r="G9" i="84" s="1"/>
  <c r="P20" i="83"/>
  <c r="P35" i="83"/>
  <c r="R68" i="83"/>
  <c r="R69" i="83" s="1"/>
  <c r="R36" i="83"/>
  <c r="S23" i="83"/>
  <c r="S36" i="83" s="1"/>
  <c r="Q26" i="83"/>
  <c r="S68" i="83" l="1"/>
  <c r="S69" i="83" s="1"/>
  <c r="R26" i="83"/>
  <c r="R37" i="83" s="1"/>
  <c r="Q37" i="83"/>
  <c r="T23" i="83"/>
  <c r="T36" i="83" s="1"/>
  <c r="Q29" i="83"/>
  <c r="Q14" i="83" s="1"/>
  <c r="Q34" i="83" s="1"/>
  <c r="P21" i="83"/>
  <c r="P33" i="83"/>
  <c r="Q82" i="83"/>
  <c r="Q83" i="83" s="1"/>
  <c r="S26" i="83"/>
  <c r="S37" i="83" s="1"/>
  <c r="R29" i="83" l="1"/>
  <c r="R82" i="83"/>
  <c r="R83" i="83" s="1"/>
  <c r="Q30" i="83"/>
  <c r="Q17" i="83"/>
  <c r="Q35" i="83" s="1"/>
  <c r="Q20" i="83"/>
  <c r="Q53" i="83"/>
  <c r="Q54" i="83" s="1"/>
  <c r="T68" i="83"/>
  <c r="T69" i="83" s="1"/>
  <c r="U23" i="83"/>
  <c r="U36" i="83" s="1"/>
  <c r="S82" i="83"/>
  <c r="S83" i="83" s="1"/>
  <c r="T26" i="83"/>
  <c r="T37" i="83" s="1"/>
  <c r="S29" i="83"/>
  <c r="R17" i="83"/>
  <c r="R35" i="83" s="1"/>
  <c r="R14" i="83"/>
  <c r="R34" i="83" s="1"/>
  <c r="R30" i="83"/>
  <c r="V23" i="83" l="1"/>
  <c r="V36" i="83" s="1"/>
  <c r="U68" i="83"/>
  <c r="Q21" i="83"/>
  <c r="Q33" i="83"/>
  <c r="W23" i="83"/>
  <c r="V68" i="83"/>
  <c r="V69" i="83" s="1"/>
  <c r="R20" i="83"/>
  <c r="R53" i="83"/>
  <c r="R54" i="83" s="1"/>
  <c r="U26" i="83"/>
  <c r="U37" i="83" s="1"/>
  <c r="T82" i="83"/>
  <c r="T83" i="83" s="1"/>
  <c r="T29" i="83"/>
  <c r="S17" i="83"/>
  <c r="S35" i="83" s="1"/>
  <c r="S14" i="83"/>
  <c r="S34" i="83" s="1"/>
  <c r="S30" i="83"/>
  <c r="U69" i="83" l="1"/>
  <c r="H12" i="84"/>
  <c r="H13" i="84" s="1"/>
  <c r="R21" i="83"/>
  <c r="R33" i="83"/>
  <c r="W68" i="83"/>
  <c r="W69" i="83" s="1"/>
  <c r="W36" i="83"/>
  <c r="V26" i="83"/>
  <c r="V37" i="83" s="1"/>
  <c r="U82" i="83"/>
  <c r="U29" i="83"/>
  <c r="T17" i="83"/>
  <c r="T35" i="83" s="1"/>
  <c r="T14" i="83"/>
  <c r="T34" i="83" s="1"/>
  <c r="T30" i="83"/>
  <c r="S20" i="83"/>
  <c r="S53" i="83"/>
  <c r="S54" i="83" s="1"/>
  <c r="U83" i="83" l="1"/>
  <c r="H16" i="84"/>
  <c r="H17" i="84" s="1"/>
  <c r="S21" i="83"/>
  <c r="S33" i="83"/>
  <c r="T20" i="83"/>
  <c r="T53" i="83"/>
  <c r="T54" i="83" s="1"/>
  <c r="U17" i="83"/>
  <c r="U35" i="83" s="1"/>
  <c r="U14" i="83"/>
  <c r="U34" i="83" s="1"/>
  <c r="U30" i="83"/>
  <c r="V29" i="83"/>
  <c r="W26" i="83"/>
  <c r="W37" i="83" s="1"/>
  <c r="V82" i="83"/>
  <c r="V83" i="83" s="1"/>
  <c r="T21" i="83" l="1"/>
  <c r="T33" i="83"/>
  <c r="V17" i="83"/>
  <c r="V35" i="83" s="1"/>
  <c r="V14" i="83"/>
  <c r="V34" i="83" s="1"/>
  <c r="V30" i="83"/>
  <c r="W29" i="83"/>
  <c r="W30" i="83" s="1"/>
  <c r="W82" i="83"/>
  <c r="W83" i="83" s="1"/>
  <c r="U20" i="83"/>
  <c r="U53" i="83"/>
  <c r="U54" i="83" l="1"/>
  <c r="H8" i="84"/>
  <c r="U21" i="83"/>
  <c r="U33" i="83"/>
  <c r="V20" i="83"/>
  <c r="V53" i="83"/>
  <c r="V54" i="83" s="1"/>
  <c r="W17" i="83"/>
  <c r="W35" i="83" s="1"/>
  <c r="W14" i="83"/>
  <c r="W34" i="83" s="1"/>
  <c r="V21" i="83" l="1"/>
  <c r="V33" i="83"/>
  <c r="W20" i="83"/>
  <c r="W53" i="83"/>
  <c r="W54" i="83" l="1"/>
  <c r="H9" i="84"/>
  <c r="W21" i="83"/>
  <c r="W33" i="83"/>
  <c r="G10" i="39"/>
  <c r="H10" i="39"/>
  <c r="I10" i="39"/>
  <c r="J10" i="39"/>
  <c r="K10" i="39"/>
  <c r="L10" i="39"/>
  <c r="T10" i="39"/>
  <c r="U10" i="39"/>
  <c r="V10" i="39"/>
  <c r="W10" i="39"/>
  <c r="X10" i="39"/>
  <c r="Y10" i="39"/>
  <c r="G15" i="39"/>
  <c r="H15" i="39"/>
  <c r="I15" i="39"/>
  <c r="J15" i="39"/>
  <c r="K15" i="39"/>
  <c r="L15" i="39"/>
  <c r="T15" i="39"/>
  <c r="U15" i="39"/>
  <c r="V15" i="39"/>
  <c r="W15" i="39"/>
  <c r="X15" i="39"/>
  <c r="Y15" i="39"/>
  <c r="G22" i="39"/>
  <c r="H22" i="39"/>
  <c r="I22" i="39"/>
  <c r="J22" i="39"/>
  <c r="K22" i="39"/>
  <c r="L22" i="39"/>
  <c r="T22" i="39"/>
  <c r="U22" i="39"/>
  <c r="V22" i="39"/>
  <c r="W22" i="39"/>
  <c r="X22" i="39"/>
  <c r="Y22" i="39"/>
  <c r="G33" i="39"/>
  <c r="H33" i="39"/>
  <c r="I33" i="39"/>
  <c r="J33" i="39"/>
  <c r="K33" i="39"/>
  <c r="L33" i="39"/>
  <c r="T33" i="39"/>
  <c r="U33" i="39"/>
  <c r="V33" i="39"/>
  <c r="W33" i="39"/>
  <c r="X33" i="39"/>
  <c r="Y33" i="39"/>
  <c r="G34" i="39"/>
  <c r="H34" i="39"/>
  <c r="I34" i="39"/>
  <c r="J34" i="39"/>
  <c r="K34" i="39"/>
  <c r="L34" i="39"/>
  <c r="U34" i="39"/>
  <c r="V34" i="39"/>
  <c r="W34" i="39"/>
  <c r="X34" i="39"/>
  <c r="Y34" i="39"/>
  <c r="G39" i="39"/>
  <c r="H39" i="39"/>
  <c r="I39" i="39"/>
  <c r="J39" i="39"/>
  <c r="K39" i="39"/>
  <c r="L39" i="39"/>
  <c r="T39" i="39"/>
  <c r="U39" i="39"/>
  <c r="V39" i="39"/>
  <c r="W39" i="39"/>
  <c r="X39" i="39"/>
  <c r="Y39" i="39"/>
  <c r="G43" i="39"/>
  <c r="H43" i="39"/>
  <c r="I43" i="39"/>
  <c r="J43" i="39"/>
  <c r="K43" i="39"/>
  <c r="L43" i="39"/>
  <c r="T43" i="39"/>
  <c r="U43" i="39"/>
  <c r="V43" i="39"/>
  <c r="W43" i="39"/>
  <c r="X43" i="39"/>
  <c r="Y43" i="39"/>
  <c r="G44" i="39"/>
  <c r="H44" i="39"/>
  <c r="I44" i="39"/>
  <c r="J44" i="39"/>
  <c r="K44" i="39"/>
  <c r="L44" i="39"/>
  <c r="T44" i="39"/>
  <c r="U44" i="39"/>
  <c r="V44" i="39"/>
  <c r="W44" i="39"/>
  <c r="X44" i="39"/>
  <c r="Y44" i="39"/>
  <c r="G48" i="39"/>
  <c r="H48" i="39"/>
  <c r="I48" i="39"/>
  <c r="J48" i="39"/>
  <c r="K48" i="39"/>
  <c r="L48" i="39"/>
  <c r="T48" i="39"/>
  <c r="U48" i="39"/>
  <c r="V48" i="39"/>
  <c r="W48" i="39"/>
  <c r="X48" i="39"/>
  <c r="Y48" i="39"/>
  <c r="G50" i="39"/>
  <c r="H50" i="39"/>
  <c r="I50" i="39"/>
  <c r="J50" i="39"/>
  <c r="K50" i="39"/>
  <c r="L50" i="39"/>
  <c r="T50" i="39"/>
  <c r="U50" i="39"/>
  <c r="V50" i="39"/>
  <c r="W50" i="39"/>
  <c r="X50" i="39"/>
  <c r="Y50" i="39"/>
  <c r="G8" i="40"/>
  <c r="H8" i="40"/>
  <c r="I8" i="40"/>
  <c r="J8" i="40"/>
  <c r="K8" i="40"/>
  <c r="L8" i="40"/>
  <c r="T8" i="40"/>
  <c r="U8" i="40"/>
  <c r="V8" i="40"/>
  <c r="W8" i="40"/>
  <c r="X8" i="40"/>
  <c r="Y8" i="40"/>
  <c r="G21" i="40"/>
  <c r="H21" i="40"/>
  <c r="I21" i="40"/>
  <c r="J21" i="40"/>
  <c r="K21" i="40"/>
  <c r="L21" i="40"/>
  <c r="T21" i="40"/>
  <c r="U21" i="40"/>
  <c r="V21" i="40"/>
  <c r="W21" i="40"/>
  <c r="X21" i="40"/>
  <c r="Y21" i="40"/>
  <c r="G31" i="40"/>
  <c r="H31" i="40"/>
  <c r="I31" i="40"/>
  <c r="J31" i="40"/>
  <c r="K31" i="40"/>
  <c r="L31" i="40"/>
  <c r="T31" i="40"/>
  <c r="U31" i="40"/>
  <c r="V31" i="40"/>
  <c r="W31" i="40"/>
  <c r="X31" i="40"/>
  <c r="Y31" i="40"/>
  <c r="G35" i="40"/>
  <c r="H35" i="40"/>
  <c r="I35" i="40"/>
  <c r="J35" i="40"/>
  <c r="K35" i="40"/>
  <c r="L35" i="40"/>
  <c r="T35" i="40"/>
  <c r="U35" i="40"/>
  <c r="V35" i="40"/>
  <c r="W35" i="40"/>
  <c r="X35" i="40"/>
  <c r="Y35" i="40"/>
  <c r="G37" i="40"/>
  <c r="H37" i="40"/>
  <c r="I37" i="40"/>
  <c r="J37" i="40"/>
  <c r="K37" i="40"/>
  <c r="L37" i="40"/>
  <c r="T37" i="40"/>
  <c r="U37" i="40"/>
  <c r="V37" i="40"/>
  <c r="W37" i="40"/>
  <c r="X37" i="40"/>
  <c r="Y37" i="40"/>
  <c r="I39" i="40"/>
  <c r="J39" i="40"/>
  <c r="K39" i="40"/>
  <c r="L39" i="40"/>
  <c r="U39" i="40"/>
  <c r="V39" i="40"/>
  <c r="W39" i="40"/>
  <c r="X39" i="40"/>
  <c r="Y39" i="40"/>
  <c r="G40" i="40"/>
  <c r="H40" i="40"/>
  <c r="I40" i="40"/>
  <c r="J40" i="40"/>
  <c r="K40" i="40"/>
  <c r="L40" i="40"/>
  <c r="T40" i="40"/>
  <c r="U40" i="40"/>
  <c r="V40" i="40"/>
  <c r="W40" i="40"/>
  <c r="X40" i="40"/>
  <c r="Y40" i="40"/>
  <c r="G42" i="40"/>
  <c r="H42" i="40"/>
  <c r="I42" i="40"/>
  <c r="J42" i="40"/>
  <c r="K42" i="40"/>
  <c r="L42" i="40"/>
  <c r="T42" i="40"/>
  <c r="U42" i="40"/>
  <c r="V42" i="40"/>
  <c r="W42" i="40"/>
  <c r="X42" i="40"/>
  <c r="Y42" i="40"/>
  <c r="D21" i="73"/>
  <c r="E21" i="73"/>
  <c r="F21" i="73"/>
  <c r="G21" i="73"/>
  <c r="H21" i="73"/>
  <c r="I21" i="73"/>
  <c r="J21" i="73"/>
  <c r="K21" i="73"/>
  <c r="L21" i="73"/>
  <c r="M21" i="73"/>
  <c r="N21" i="73"/>
  <c r="P21" i="73"/>
  <c r="R21" i="73"/>
  <c r="T21" i="73"/>
  <c r="V21" i="73"/>
  <c r="X21" i="73"/>
  <c r="D22" i="73"/>
  <c r="E22" i="73"/>
  <c r="F22" i="73"/>
  <c r="G22" i="73"/>
  <c r="H22" i="73"/>
  <c r="I22" i="73"/>
  <c r="J22" i="73"/>
  <c r="K22" i="73"/>
  <c r="L22" i="73"/>
  <c r="M22" i="73"/>
  <c r="N22" i="73"/>
  <c r="P22" i="73"/>
  <c r="D25" i="73"/>
  <c r="E25" i="73"/>
  <c r="F25" i="73"/>
  <c r="G25" i="73"/>
  <c r="H25" i="73"/>
  <c r="I25" i="73"/>
  <c r="J25" i="73"/>
  <c r="K25" i="73"/>
  <c r="L25" i="73"/>
  <c r="M25" i="73"/>
  <c r="N25" i="73"/>
  <c r="P25" i="73"/>
  <c r="R25" i="73"/>
  <c r="T25" i="73"/>
  <c r="V25" i="73"/>
  <c r="X25" i="73"/>
  <c r="D26" i="73"/>
  <c r="E26" i="73"/>
  <c r="F26" i="73"/>
  <c r="G26" i="73"/>
  <c r="H26" i="73"/>
  <c r="I26" i="73"/>
  <c r="J26" i="73"/>
  <c r="K26" i="73"/>
  <c r="L26" i="73"/>
  <c r="M26" i="73"/>
  <c r="N26" i="73"/>
  <c r="P26" i="73"/>
  <c r="D29" i="73"/>
  <c r="E29" i="73"/>
  <c r="F29" i="73"/>
  <c r="G29" i="73"/>
  <c r="H29" i="73"/>
  <c r="I29" i="73"/>
  <c r="J29" i="73"/>
  <c r="K29" i="73"/>
  <c r="L29" i="73"/>
  <c r="M29" i="73"/>
  <c r="N29" i="73"/>
  <c r="P29" i="73"/>
  <c r="D32" i="73"/>
  <c r="E32" i="73"/>
  <c r="F32" i="73"/>
  <c r="G32" i="73"/>
  <c r="H32" i="73"/>
  <c r="I32" i="73"/>
  <c r="J32" i="73"/>
  <c r="K32" i="73"/>
  <c r="L32" i="73"/>
  <c r="M32" i="73"/>
  <c r="N32" i="73"/>
  <c r="P32" i="73"/>
  <c r="D35" i="73"/>
  <c r="E35" i="73"/>
  <c r="F35" i="73"/>
  <c r="G35" i="73"/>
  <c r="H35" i="73"/>
  <c r="I35" i="73"/>
  <c r="J35" i="73"/>
  <c r="K35" i="73"/>
  <c r="L35" i="73"/>
  <c r="M35" i="73"/>
  <c r="N35" i="73"/>
  <c r="D43" i="73"/>
  <c r="D44" i="73"/>
  <c r="D46" i="73"/>
  <c r="D47" i="73"/>
  <c r="D48" i="73"/>
  <c r="D51" i="73"/>
  <c r="D54" i="73"/>
  <c r="D57" i="73"/>
  <c r="D60" i="73"/>
  <c r="D61" i="73"/>
  <c r="D62" i="73"/>
  <c r="D70" i="73"/>
  <c r="D71" i="73"/>
  <c r="D73" i="73"/>
  <c r="D74" i="73"/>
  <c r="D75" i="73"/>
  <c r="D85" i="73"/>
  <c r="D108" i="73"/>
  <c r="D19" i="8"/>
  <c r="E19" i="8"/>
  <c r="F19" i="8"/>
  <c r="G19" i="8"/>
  <c r="H19" i="8"/>
  <c r="I19" i="8"/>
  <c r="K19" i="8"/>
  <c r="D20" i="8"/>
  <c r="E20" i="8"/>
  <c r="F20" i="8"/>
  <c r="G20" i="8"/>
  <c r="H20" i="8"/>
  <c r="I20" i="8"/>
  <c r="K20" i="8"/>
  <c r="D23" i="8"/>
  <c r="E23" i="8"/>
  <c r="F23" i="8"/>
  <c r="G23" i="8"/>
  <c r="H23" i="8"/>
  <c r="I23" i="8"/>
  <c r="K23" i="8"/>
  <c r="D24" i="8"/>
  <c r="E24" i="8"/>
  <c r="F24" i="8"/>
  <c r="G24" i="8"/>
  <c r="H24" i="8"/>
  <c r="I24" i="8"/>
  <c r="K24" i="8"/>
  <c r="D27" i="8"/>
  <c r="E27" i="8"/>
  <c r="F27" i="8"/>
  <c r="G27" i="8"/>
  <c r="H27" i="8"/>
  <c r="I27" i="8"/>
  <c r="K27" i="8"/>
  <c r="D30" i="8"/>
  <c r="E30" i="8"/>
  <c r="F30" i="8"/>
  <c r="G30" i="8"/>
  <c r="H30" i="8"/>
  <c r="I30" i="8"/>
  <c r="K30" i="8"/>
  <c r="D33" i="8"/>
  <c r="E33" i="8"/>
  <c r="F33" i="8"/>
  <c r="G33" i="8"/>
  <c r="H33" i="8"/>
  <c r="I33" i="8"/>
  <c r="D41" i="8"/>
  <c r="D42" i="8"/>
  <c r="D44" i="8"/>
  <c r="D45" i="8"/>
  <c r="D46" i="8"/>
  <c r="D49" i="8"/>
  <c r="D52" i="8"/>
  <c r="D55" i="8"/>
  <c r="D58" i="8"/>
  <c r="D59" i="8"/>
  <c r="D60" i="8"/>
  <c r="D68" i="8"/>
  <c r="D69" i="8"/>
  <c r="D71" i="8"/>
  <c r="D72" i="8"/>
  <c r="D73" i="8"/>
  <c r="D80" i="8"/>
  <c r="G7" i="78"/>
  <c r="H7" i="78"/>
  <c r="I7" i="78"/>
  <c r="J7" i="78"/>
  <c r="K7" i="78"/>
  <c r="L7" i="78"/>
  <c r="G12" i="78"/>
  <c r="H12" i="78"/>
  <c r="I12" i="78"/>
  <c r="J12" i="78"/>
  <c r="K12" i="78"/>
  <c r="L12" i="78"/>
  <c r="G19" i="78"/>
  <c r="H19" i="78"/>
  <c r="I19" i="78"/>
  <c r="J19" i="78"/>
  <c r="K19" i="78"/>
  <c r="L19" i="78"/>
  <c r="G30" i="78"/>
  <c r="H30" i="78"/>
  <c r="I30" i="78"/>
  <c r="J30" i="78"/>
  <c r="K30" i="78"/>
  <c r="L30" i="78"/>
  <c r="G31" i="78"/>
  <c r="H31" i="78"/>
  <c r="I31" i="78"/>
  <c r="J31" i="78"/>
  <c r="K31" i="78"/>
  <c r="L31" i="78"/>
  <c r="G36" i="78"/>
  <c r="H36" i="78"/>
  <c r="I36" i="78"/>
  <c r="J36" i="78"/>
  <c r="K36" i="78"/>
  <c r="L36" i="78"/>
  <c r="G40" i="78"/>
  <c r="H40" i="78"/>
  <c r="I40" i="78"/>
  <c r="J40" i="78"/>
  <c r="K40" i="78"/>
  <c r="L40" i="78"/>
  <c r="G41" i="78"/>
  <c r="H41" i="78"/>
  <c r="I41" i="78"/>
  <c r="J41" i="78"/>
  <c r="K41" i="78"/>
  <c r="L41" i="78"/>
  <c r="G45" i="78"/>
  <c r="H45" i="78"/>
  <c r="I45" i="78"/>
  <c r="J45" i="78"/>
  <c r="K45" i="78"/>
  <c r="L45" i="78"/>
  <c r="G69" i="78"/>
  <c r="H69" i="78"/>
  <c r="I69" i="78"/>
  <c r="J69" i="78"/>
  <c r="K69" i="78"/>
  <c r="L69" i="78"/>
  <c r="G72" i="78"/>
  <c r="H72" i="78"/>
  <c r="I72" i="78"/>
  <c r="J72" i="78"/>
  <c r="K72" i="78"/>
  <c r="L72" i="78"/>
  <c r="G74" i="78"/>
  <c r="H74" i="78"/>
  <c r="I74" i="78"/>
  <c r="J74" i="78"/>
  <c r="K74" i="78"/>
  <c r="L74" i="78"/>
  <c r="G75" i="78"/>
  <c r="H75" i="78"/>
  <c r="I75" i="78"/>
  <c r="J75" i="78"/>
  <c r="K75" i="78"/>
  <c r="L75" i="78"/>
  <c r="G77" i="78"/>
  <c r="H77" i="78"/>
  <c r="I77" i="78"/>
  <c r="J77" i="78"/>
  <c r="K77" i="78"/>
  <c r="L77" i="78"/>
  <c r="G80" i="78"/>
  <c r="H80" i="78"/>
  <c r="I80" i="78"/>
  <c r="J80" i="78"/>
  <c r="K80" i="78"/>
  <c r="L80" i="78"/>
  <c r="G83" i="78"/>
  <c r="H83" i="78"/>
  <c r="I83" i="78"/>
  <c r="J83" i="78"/>
  <c r="K83" i="78"/>
  <c r="L83" i="78"/>
  <c r="G84" i="78"/>
  <c r="H84" i="78"/>
  <c r="I84" i="78"/>
  <c r="J84" i="78"/>
  <c r="K84" i="78"/>
  <c r="L84" i="78"/>
  <c r="G85" i="78"/>
  <c r="H85" i="78"/>
  <c r="I85" i="78"/>
  <c r="J85" i="78"/>
  <c r="K85" i="78"/>
  <c r="L85" i="78"/>
  <c r="G95" i="78"/>
  <c r="H95" i="78"/>
  <c r="I95" i="78"/>
  <c r="J95" i="78"/>
  <c r="K95" i="78"/>
  <c r="L95" i="78"/>
  <c r="G101" i="78"/>
  <c r="H101" i="78"/>
  <c r="I101" i="78"/>
  <c r="J101" i="78"/>
  <c r="K101" i="78"/>
  <c r="L101" i="78"/>
  <c r="G102" i="78"/>
  <c r="H102" i="78"/>
  <c r="I102" i="78"/>
  <c r="J102" i="78"/>
  <c r="K102" i="78"/>
  <c r="L102" i="78"/>
  <c r="G105" i="78"/>
  <c r="H105" i="78"/>
  <c r="I105" i="78"/>
  <c r="J105" i="78"/>
  <c r="K105" i="78"/>
  <c r="L105" i="78"/>
  <c r="G108" i="78"/>
  <c r="H108" i="78"/>
  <c r="I108" i="78"/>
  <c r="J108" i="78"/>
  <c r="K108" i="78"/>
  <c r="L108" i="78"/>
  <c r="G119" i="78"/>
  <c r="H119" i="78"/>
  <c r="I119" i="78"/>
  <c r="J119" i="78"/>
  <c r="K119" i="78"/>
  <c r="L119" i="78"/>
  <c r="G129" i="78"/>
  <c r="H129" i="78"/>
  <c r="I129" i="78"/>
  <c r="J129" i="78"/>
  <c r="K129" i="78"/>
  <c r="L129" i="78"/>
  <c r="G141" i="78"/>
  <c r="H141" i="78"/>
  <c r="I141" i="78"/>
  <c r="J141" i="78"/>
  <c r="K141" i="78"/>
  <c r="L141" i="78"/>
  <c r="G150" i="78"/>
  <c r="H150" i="78"/>
  <c r="I150" i="78"/>
  <c r="J150" i="78"/>
  <c r="K150" i="78"/>
  <c r="L150" i="78"/>
  <c r="G153" i="78"/>
  <c r="H153" i="78"/>
  <c r="I153" i="78"/>
  <c r="J153" i="78"/>
  <c r="K153" i="78"/>
  <c r="L153" i="78"/>
  <c r="G155" i="78"/>
  <c r="H155" i="78"/>
  <c r="I155" i="78"/>
  <c r="J155" i="78"/>
  <c r="K155" i="78"/>
  <c r="L155" i="78"/>
  <c r="I157" i="78"/>
  <c r="J157" i="78"/>
  <c r="K157" i="78"/>
  <c r="L157" i="78"/>
  <c r="G158" i="78"/>
  <c r="H158" i="78"/>
  <c r="I158" i="78"/>
  <c r="J158" i="78"/>
  <c r="K158" i="78"/>
  <c r="L158" i="78"/>
  <c r="H28" i="23"/>
  <c r="I28" i="23"/>
  <c r="J28" i="23"/>
  <c r="K28" i="23"/>
  <c r="L28" i="23"/>
  <c r="M28" i="23"/>
  <c r="Y28" i="23"/>
  <c r="Z28" i="23"/>
  <c r="AA28" i="23"/>
  <c r="AB28" i="23"/>
  <c r="AC28" i="23"/>
  <c r="AD28" i="23"/>
  <c r="H31" i="23"/>
  <c r="I31" i="23"/>
  <c r="J31" i="23"/>
  <c r="K31" i="23"/>
  <c r="L31" i="23"/>
  <c r="M31" i="23"/>
  <c r="Y31" i="23"/>
  <c r="Z31" i="23"/>
  <c r="AA31" i="23"/>
  <c r="AB31" i="23"/>
  <c r="AC31" i="23"/>
  <c r="AD31" i="23"/>
  <c r="H33" i="23"/>
  <c r="I33" i="23"/>
  <c r="J33" i="23"/>
  <c r="K33" i="23"/>
  <c r="L33" i="23"/>
  <c r="M33" i="23"/>
  <c r="Y33" i="23"/>
  <c r="Z33" i="23"/>
  <c r="AA33" i="23"/>
  <c r="AB33" i="23"/>
  <c r="AC33" i="23"/>
  <c r="AD33" i="23"/>
  <c r="H34" i="23"/>
  <c r="I34" i="23"/>
  <c r="J34" i="23"/>
  <c r="K34" i="23"/>
  <c r="L34" i="23"/>
  <c r="M34" i="23"/>
  <c r="Y34" i="23"/>
  <c r="Z34" i="23"/>
  <c r="AA34" i="23"/>
  <c r="AB34" i="23"/>
  <c r="AC34" i="23"/>
  <c r="AD34" i="23"/>
  <c r="H36" i="23"/>
  <c r="I36" i="23"/>
  <c r="J36" i="23"/>
  <c r="K36" i="23"/>
  <c r="L36" i="23"/>
  <c r="M36" i="23"/>
  <c r="H39" i="23"/>
  <c r="I39" i="23"/>
  <c r="J39" i="23"/>
  <c r="K39" i="23"/>
  <c r="L39" i="23"/>
  <c r="M39" i="23"/>
  <c r="Y39" i="23"/>
  <c r="Z39" i="23"/>
  <c r="AA39" i="23"/>
  <c r="AB39" i="23"/>
  <c r="AC39" i="23"/>
  <c r="AD39" i="23"/>
  <c r="H42" i="23"/>
  <c r="I42" i="23"/>
  <c r="J42" i="23"/>
  <c r="K42" i="23"/>
  <c r="L42" i="23"/>
  <c r="M42" i="23"/>
  <c r="Y42" i="23"/>
  <c r="Z42" i="23"/>
  <c r="AA42" i="23"/>
  <c r="AB42" i="23"/>
  <c r="AC42" i="23"/>
  <c r="AD42" i="23"/>
  <c r="H43" i="23"/>
  <c r="I43" i="23"/>
  <c r="J43" i="23"/>
  <c r="K43" i="23"/>
  <c r="L43" i="23"/>
  <c r="M43" i="23"/>
  <c r="Y43" i="23"/>
  <c r="Z43" i="23"/>
  <c r="AA43" i="23"/>
  <c r="AB43" i="23"/>
  <c r="AC43" i="23"/>
  <c r="AD43" i="23"/>
  <c r="H44" i="23"/>
  <c r="I44" i="23"/>
  <c r="J44" i="23"/>
  <c r="K44" i="23"/>
  <c r="L44" i="23"/>
  <c r="M44" i="23"/>
  <c r="Y44" i="23"/>
  <c r="Z44" i="23"/>
  <c r="AA44" i="23"/>
  <c r="AB44" i="23"/>
  <c r="AC44" i="23"/>
  <c r="AD44" i="23"/>
  <c r="H54" i="23"/>
  <c r="I54" i="23"/>
  <c r="J54" i="23"/>
  <c r="K54" i="23"/>
  <c r="L54" i="23"/>
  <c r="M54" i="23"/>
  <c r="Y54" i="23"/>
  <c r="Z54" i="23"/>
  <c r="AA54" i="23"/>
  <c r="AB54" i="23"/>
  <c r="AC54" i="23"/>
  <c r="AD54" i="23"/>
  <c r="H56" i="23"/>
  <c r="I56" i="23"/>
  <c r="J56" i="23"/>
  <c r="K56" i="23"/>
  <c r="L56" i="23"/>
  <c r="M56" i="23"/>
  <c r="Y56" i="23"/>
  <c r="Z56" i="23"/>
  <c r="AA56" i="23"/>
  <c r="AB56" i="23"/>
  <c r="AC56" i="23"/>
  <c r="AD56" i="23"/>
  <c r="H57" i="23"/>
  <c r="I57" i="23"/>
  <c r="J57" i="23"/>
  <c r="K57" i="23"/>
  <c r="L57" i="23"/>
  <c r="M57" i="23"/>
  <c r="Y57" i="23"/>
  <c r="Z57" i="23"/>
  <c r="AA57" i="23"/>
  <c r="AB57" i="23"/>
  <c r="AC57" i="23"/>
  <c r="AD57" i="23"/>
  <c r="H60" i="23"/>
  <c r="I60" i="23"/>
  <c r="J60" i="23"/>
  <c r="K60" i="23"/>
  <c r="L60" i="23"/>
  <c r="M60" i="23"/>
  <c r="Y60" i="23"/>
  <c r="Z60" i="23"/>
  <c r="AA60" i="23"/>
  <c r="AB60" i="23"/>
  <c r="AC60" i="23"/>
  <c r="AD60" i="23"/>
  <c r="H63" i="23"/>
  <c r="I63" i="23"/>
  <c r="J63" i="23"/>
  <c r="K63" i="23"/>
  <c r="L63" i="23"/>
  <c r="M63" i="23"/>
  <c r="Y63" i="23"/>
  <c r="Z63" i="23"/>
  <c r="AA63" i="23"/>
  <c r="AB63" i="23"/>
  <c r="AC63" i="23"/>
  <c r="AD63" i="23"/>
  <c r="H74" i="23"/>
  <c r="I74" i="23"/>
  <c r="J74" i="23"/>
  <c r="K74" i="23"/>
  <c r="L74" i="23"/>
  <c r="M74" i="23"/>
  <c r="Y74" i="23"/>
  <c r="Z74" i="23"/>
  <c r="AA74" i="23"/>
  <c r="AB74" i="23"/>
  <c r="AC74" i="23"/>
  <c r="AD74" i="23"/>
  <c r="H77" i="23"/>
  <c r="I77" i="23"/>
  <c r="J77" i="23"/>
  <c r="K77" i="23"/>
  <c r="L77" i="23"/>
  <c r="M77" i="23"/>
  <c r="Y77" i="23"/>
  <c r="Z77" i="23"/>
  <c r="AA77" i="23"/>
  <c r="AB77" i="23"/>
  <c r="AC77" i="23"/>
  <c r="AD77" i="23"/>
  <c r="H78" i="23"/>
  <c r="I78" i="23"/>
  <c r="J78" i="23"/>
  <c r="K78" i="23"/>
  <c r="L78" i="23"/>
  <c r="M78" i="23"/>
  <c r="Y78" i="23"/>
  <c r="Z78" i="23"/>
  <c r="AA78" i="23"/>
  <c r="AB78" i="23"/>
  <c r="AC78" i="23"/>
  <c r="AD78" i="23"/>
  <c r="J126" i="23"/>
  <c r="K126" i="23"/>
  <c r="L126" i="23"/>
  <c r="M126" i="23"/>
  <c r="Y126" i="23"/>
  <c r="Z126" i="23"/>
  <c r="AA126" i="23"/>
  <c r="AB126" i="23"/>
  <c r="AC126" i="23"/>
  <c r="AD126" i="23"/>
  <c r="J130" i="23"/>
  <c r="K130" i="23"/>
  <c r="L130" i="23"/>
  <c r="M130" i="23"/>
  <c r="Y130" i="23"/>
  <c r="Z130" i="23"/>
  <c r="AA130" i="23"/>
  <c r="AB130" i="23"/>
  <c r="AC130" i="23"/>
  <c r="AD130" i="23"/>
  <c r="J133" i="23"/>
  <c r="K133" i="23"/>
  <c r="L133" i="23"/>
  <c r="M133" i="23"/>
  <c r="Z133" i="23"/>
  <c r="AA133" i="23"/>
  <c r="AB133" i="23"/>
  <c r="AC133" i="23"/>
  <c r="AD133" i="23"/>
  <c r="J134" i="23"/>
  <c r="K134" i="23"/>
  <c r="L134" i="23"/>
  <c r="M134" i="23"/>
  <c r="Y134" i="23"/>
  <c r="Z134" i="23"/>
  <c r="AA134" i="23"/>
  <c r="AB134" i="23"/>
  <c r="AC134" i="23"/>
  <c r="AD134" i="23"/>
  <c r="I135" i="23"/>
  <c r="J135" i="23"/>
  <c r="K135" i="23"/>
  <c r="L135" i="23"/>
  <c r="M135" i="23"/>
  <c r="Y135" i="23"/>
  <c r="Z135" i="23"/>
  <c r="AA135" i="23"/>
  <c r="AB135" i="23"/>
  <c r="AC135" i="23"/>
  <c r="AD135" i="23"/>
  <c r="I136" i="23"/>
  <c r="J136" i="23"/>
  <c r="K136" i="23"/>
  <c r="L136" i="23"/>
  <c r="M136" i="23"/>
  <c r="Y136" i="23"/>
  <c r="Z136" i="23"/>
  <c r="AA136" i="23"/>
  <c r="AB136" i="23"/>
  <c r="AC136" i="23"/>
  <c r="AD136" i="23"/>
  <c r="J139" i="23"/>
  <c r="K139" i="23"/>
  <c r="L139" i="23"/>
  <c r="M139" i="23"/>
  <c r="Y139" i="23"/>
  <c r="Z139" i="23"/>
  <c r="AA139" i="23"/>
  <c r="AB139" i="23"/>
  <c r="AC139" i="23"/>
  <c r="AD139" i="23"/>
  <c r="I142" i="23"/>
  <c r="J142" i="23"/>
  <c r="K142" i="23"/>
  <c r="L142" i="23"/>
  <c r="M142" i="23"/>
  <c r="Z142" i="23"/>
  <c r="AA142" i="23"/>
  <c r="AB142" i="23"/>
  <c r="AC142" i="23"/>
  <c r="AD142" i="23"/>
  <c r="I144" i="23"/>
  <c r="J144" i="23"/>
  <c r="K144" i="23"/>
  <c r="L144" i="23"/>
  <c r="M144" i="23"/>
  <c r="Y144" i="23"/>
  <c r="Z144" i="23"/>
  <c r="AA144" i="23"/>
  <c r="AB144" i="23"/>
  <c r="AC144" i="23"/>
  <c r="AD144" i="23"/>
  <c r="I145" i="23"/>
  <c r="J145" i="23"/>
  <c r="K145" i="23"/>
  <c r="L145" i="23"/>
  <c r="M145" i="23"/>
  <c r="Y145" i="23"/>
  <c r="Z145" i="23"/>
  <c r="AA145" i="23"/>
  <c r="AB145" i="23"/>
  <c r="AC145" i="23"/>
  <c r="AD145" i="23"/>
  <c r="I148" i="23"/>
  <c r="J148" i="23"/>
  <c r="K148" i="23"/>
  <c r="L148" i="23"/>
  <c r="M148" i="23"/>
  <c r="Y148" i="23"/>
  <c r="Z148" i="23"/>
  <c r="AA148" i="23"/>
  <c r="AB148" i="23"/>
  <c r="AC148" i="23"/>
  <c r="AD148" i="23"/>
  <c r="I149" i="23"/>
  <c r="J149" i="23"/>
  <c r="K149" i="23"/>
  <c r="L149" i="23"/>
  <c r="M149" i="23"/>
  <c r="Y149" i="23"/>
  <c r="Z149" i="23"/>
  <c r="AA149" i="23"/>
  <c r="AB149" i="23"/>
  <c r="AC149" i="23"/>
  <c r="AD149" i="23"/>
  <c r="I152" i="23"/>
  <c r="J152" i="23"/>
  <c r="K152" i="23"/>
  <c r="L152" i="23"/>
  <c r="M152" i="23"/>
  <c r="Y152" i="23"/>
  <c r="Z152" i="23"/>
  <c r="AA152" i="23"/>
  <c r="AB152" i="23"/>
  <c r="AC152" i="23"/>
  <c r="AD152" i="23"/>
  <c r="I154" i="23"/>
  <c r="J154" i="23"/>
  <c r="K154" i="23"/>
  <c r="L154" i="23"/>
  <c r="M154" i="23"/>
  <c r="Y154" i="23"/>
  <c r="Z154" i="23"/>
  <c r="AA154" i="23"/>
  <c r="AB154" i="23"/>
  <c r="AC154" i="23"/>
  <c r="AD154" i="23"/>
  <c r="I155" i="23"/>
  <c r="J155" i="23"/>
  <c r="K155" i="23"/>
  <c r="L155" i="23"/>
  <c r="M155" i="23"/>
  <c r="Y155" i="23"/>
  <c r="Z155" i="23"/>
  <c r="AA155" i="23"/>
  <c r="AB155" i="23"/>
  <c r="AC155" i="23"/>
  <c r="AD155" i="23"/>
  <c r="I156" i="23"/>
  <c r="J156" i="23"/>
  <c r="K156" i="23"/>
  <c r="L156" i="23"/>
  <c r="M156" i="23"/>
  <c r="Y156" i="23"/>
  <c r="Z156" i="23"/>
  <c r="AA156" i="23"/>
  <c r="AB156" i="23"/>
  <c r="AC156" i="23"/>
  <c r="AD156" i="23"/>
  <c r="O11" i="74"/>
  <c r="P11" i="74"/>
  <c r="Q11" i="74"/>
  <c r="R11" i="74"/>
  <c r="T11" i="74"/>
  <c r="V11" i="74"/>
  <c r="W11" i="74"/>
  <c r="X11" i="74"/>
  <c r="Y11" i="74"/>
  <c r="AA11" i="74"/>
  <c r="O12" i="74"/>
  <c r="P12" i="74"/>
  <c r="Q12" i="74"/>
  <c r="R12" i="74"/>
  <c r="V12" i="74"/>
  <c r="W12" i="74"/>
  <c r="X12" i="74"/>
  <c r="Y12" i="74"/>
  <c r="O14" i="74"/>
  <c r="P14" i="74"/>
  <c r="Q14" i="74"/>
  <c r="R14" i="74"/>
  <c r="T14" i="74"/>
  <c r="V14" i="74"/>
  <c r="W14" i="74"/>
  <c r="X14" i="74"/>
  <c r="Y14" i="74"/>
  <c r="AA14" i="74"/>
  <c r="O15" i="74"/>
  <c r="P15" i="74"/>
  <c r="Q15" i="74"/>
  <c r="R15" i="74"/>
  <c r="V15" i="74"/>
  <c r="W15" i="74"/>
  <c r="X15" i="74"/>
  <c r="Y15" i="74"/>
  <c r="O17" i="74"/>
  <c r="P17" i="74"/>
  <c r="Q17" i="74"/>
  <c r="R17" i="74"/>
  <c r="T17" i="74"/>
  <c r="V17" i="74"/>
  <c r="W17" i="74"/>
  <c r="X17" i="74"/>
  <c r="Y17" i="74"/>
  <c r="AA17" i="74"/>
  <c r="O18" i="74"/>
  <c r="P18" i="74"/>
  <c r="Q18" i="74"/>
  <c r="R18" i="74"/>
  <c r="V18" i="74"/>
  <c r="W18" i="74"/>
  <c r="X18" i="74"/>
  <c r="Y18" i="74"/>
  <c r="O20" i="74"/>
  <c r="P20" i="74"/>
  <c r="Q20" i="74"/>
  <c r="R20" i="74"/>
  <c r="T20" i="74"/>
  <c r="V20" i="74"/>
  <c r="W20" i="74"/>
  <c r="X20" i="74"/>
  <c r="Y20" i="74"/>
  <c r="AA20" i="74"/>
  <c r="O22" i="74"/>
  <c r="P22" i="74"/>
  <c r="Q22" i="74"/>
  <c r="R22" i="74"/>
  <c r="T22" i="74"/>
  <c r="V22" i="74"/>
  <c r="W22" i="74"/>
  <c r="X22" i="74"/>
  <c r="Y22" i="74"/>
  <c r="AA22" i="7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https://www.bamsec.com/filing/183165122000048/1?cik=1831651&amp;hl=2503:2515&amp;hl_id=ey-meeg4p</t>
        </r>
      </text>
    </comment>
    <comment ref="D12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https://www.bamsec.com/filing/183165122000048/1?cik=1831651&amp;hl=49266:49275&amp;hl_id=ejwdrgmva</t>
        </r>
      </text>
    </comment>
    <comment ref="D13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https://www.bamsec.com/filing/183165122000048/1?cik=1831651&amp;hl=50334:50342&amp;hl_id=eyy3hezn6</t>
        </r>
      </text>
    </comment>
    <comment ref="L17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https://www.bamsec.com/filing/183165122000048/1?cik=1831651&amp;hl=12033:12041&amp;hl_id=4k5pvxzva
https://www.bamsec.com/filing/183165122000048/1?cik=1831651&amp;hl=11908:11914&amp;hl_id=nyduvezvt
https://www.bamsec.com/filing/183165122000048/1?cik=1831651&amp;hl=11983:11989&amp;hl_id=eks0ulmv6</t>
        </r>
      </text>
    </comment>
    <comment ref="L18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https://www.bamsec.com/filing/183165122000048/1?cik=1831651&amp;hl=12984:12991&amp;hl_id=4y6nklmep</t>
        </r>
      </text>
    </comment>
    <comment ref="L19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https://www.bamsec.com/filing/183165122000048/1?cik=1831651&amp;hl=11284:11291&amp;hl_id=vj9pqezna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G34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less deferred financing costs and current portion of LT debt</t>
        </r>
      </text>
    </comment>
    <comment ref="H34" authorId="0" shapeId="0" xr:uid="{00000000-0006-0000-0500-000002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less deferred financing costs and current portion of LT debt</t>
        </r>
      </text>
    </comment>
    <comment ref="I34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less deferred financing costs and current portion of LT debt</t>
        </r>
      </text>
    </comment>
    <comment ref="J34" authorId="0" shapeId="0" xr:uid="{00000000-0006-0000-0500-000004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less deferred financing costs and current portion of LT debt</t>
        </r>
      </text>
    </comment>
    <comment ref="K34" authorId="0" shapeId="0" xr:uid="{00000000-0006-0000-0500-000005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less deferred financing costs and current portion of LT debt</t>
        </r>
      </text>
    </comment>
    <comment ref="L34" authorId="0" shapeId="0" xr:uid="{00000000-0006-0000-0500-000006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less deferred financing costs and current portion of LT debt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D3" authorId="0" shapeId="0" xr:uid="{00000000-0006-0000-0600-000001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https://www.bamsec.com/filing/183165121000003/1?cik=1831651&amp;hl=334659:334663&amp;hl_id=vyyegiv4a</t>
        </r>
      </text>
    </comment>
    <comment ref="E3" authorId="0" shapeId="0" xr:uid="{00000000-0006-0000-0600-000002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https://www.bamsec.com/filing/183165121000003/1?cik=1831651&amp;hl=334659:334663&amp;hl_id=vyyegiv4a</t>
        </r>
      </text>
    </comment>
    <comment ref="F3" authorId="0" shapeId="0" xr:uid="{00000000-0006-0000-0600-000003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https://www.bamsec.com/filing/183165121000003/1?cik=1831651&amp;hl=334659:334663&amp;hl_id=vyyegiv4a</t>
        </r>
      </text>
    </comment>
    <comment ref="G3" authorId="0" shapeId="0" xr:uid="{00000000-0006-0000-0600-000004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https://www.bamsec.com/filing/183165122000008/1?cik=1831651&amp;table=18</t>
        </r>
      </text>
    </comment>
    <comment ref="O3" authorId="0" shapeId="0" xr:uid="{00000000-0006-0000-0600-000005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https://www.bamsec.com/filing/183165121000010/1?cik=1831651&amp;table=6</t>
        </r>
      </text>
    </comment>
    <comment ref="P3" authorId="0" shapeId="0" xr:uid="{00000000-0006-0000-0600-000006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https://www.bamsec.com/filing/183165121000017/1?cik=1831651&amp;table=6</t>
        </r>
      </text>
    </comment>
    <comment ref="Q3" authorId="0" shapeId="0" xr:uid="{00000000-0006-0000-0600-000007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https://www.bamsec.com/filing/183165121000027/1?cik=1831651&amp;table=6</t>
        </r>
      </text>
    </comment>
    <comment ref="R3" authorId="0" shapeId="0" xr:uid="{00000000-0006-0000-0600-000008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https://www.bamsec.com/filing/183165122000008/1?cik=1831651&amp;table=18</t>
        </r>
      </text>
    </comment>
    <comment ref="S3" authorId="0" shapeId="0" xr:uid="{00000000-0006-0000-0600-000009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https://www.bamsec.com/filing/183165121000010/1?cik=1831651&amp;table=6</t>
        </r>
      </text>
    </comment>
    <comment ref="T3" authorId="0" shapeId="0" xr:uid="{00000000-0006-0000-0600-00000A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https://www.bamsec.com/filing/183165121000017/1?cik=1831651&amp;table=6</t>
        </r>
      </text>
    </comment>
    <comment ref="U3" authorId="0" shapeId="0" xr:uid="{00000000-0006-0000-0600-00000B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https://www.bamsec.com/filing/183165121000027/1?cik=1831651&amp;table=6</t>
        </r>
      </text>
    </comment>
    <comment ref="V3" authorId="0" shapeId="0" xr:uid="{00000000-0006-0000-0600-00000C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https://www.bamsec.com/filing/183165122000008/1?cik=1831651&amp;table=18</t>
        </r>
      </text>
    </comment>
    <comment ref="W3" authorId="0" shapeId="0" xr:uid="{00000000-0006-0000-0600-00000D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https://www.bamsec.com/filing/183165122000032/1?cik=1831651&amp;table=6</t>
        </r>
      </text>
    </comment>
    <comment ref="X3" authorId="0" shapeId="0" xr:uid="{00000000-0006-0000-0600-00000E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https://www.bamsec.com/filing/183165122000048/1?cik=1831651&amp;table=6</t>
        </r>
      </text>
    </comment>
    <comment ref="Y36" authorId="0" shapeId="0" xr:uid="{92026D9E-D8D7-4E81-AD67-8051A69E31E1}">
      <text>
        <r>
          <rPr>
            <b/>
            <sz val="9"/>
            <color indexed="81"/>
            <rFont val="Tahoma"/>
            <charset val="1"/>
          </rPr>
          <t>eric schmitt:</t>
        </r>
        <r>
          <rPr>
            <sz val="9"/>
            <color indexed="81"/>
            <rFont val="Tahoma"/>
            <charset val="1"/>
          </rPr>
          <t xml:space="preserve">
US Corp tax</t>
        </r>
      </text>
    </comment>
    <comment ref="D42" authorId="0" shapeId="0" xr:uid="{00000000-0006-0000-0600-00000F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https://www.bamsec.com/filing/183165121000003/1?cik=1831651&amp;table=6</t>
        </r>
      </text>
    </comment>
    <comment ref="E42" authorId="0" shapeId="0" xr:uid="{00000000-0006-0000-0600-000010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https://www.bamsec.com/filing/183165121000003/1?cik=1831651&amp;table=6</t>
        </r>
      </text>
    </comment>
    <comment ref="F42" authorId="0" shapeId="0" xr:uid="{00000000-0006-0000-0600-000011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https://www.bamsec.com/filing/183165121000003/1?cik=1831651&amp;table=6</t>
        </r>
      </text>
    </comment>
    <comment ref="G42" authorId="0" shapeId="0" xr:uid="{00000000-0006-0000-0600-000012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https://www.bamsec.com/filing/183165122000008/1?cik=1831651&amp;table=7</t>
        </r>
      </text>
    </comment>
    <comment ref="O42" authorId="0" shapeId="0" xr:uid="{00000000-0006-0000-0600-000013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https://www.bamsec.com/filing/183165121000010/1?cik=1831651&amp;table=22</t>
        </r>
      </text>
    </comment>
    <comment ref="P42" authorId="0" shapeId="0" xr:uid="{00000000-0006-0000-0600-000014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https://www.bamsec.com/filing/183165121000017/1?cik=1831651&amp;table=22</t>
        </r>
      </text>
    </comment>
    <comment ref="Q42" authorId="0" shapeId="0" xr:uid="{00000000-0006-0000-0600-000015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https://www.bamsec.com/filing/183165121000027/1?cik=1831651&amp;table=25</t>
        </r>
      </text>
    </comment>
    <comment ref="S42" authorId="0" shapeId="0" xr:uid="{00000000-0006-0000-0600-000016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https://www.bamsec.com/filing/183165121000010/1?cik=1831651&amp;table=22</t>
        </r>
      </text>
    </comment>
    <comment ref="T42" authorId="0" shapeId="0" xr:uid="{00000000-0006-0000-0600-000017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https://www.bamsec.com/filing/183165121000017/1?cik=1831651&amp;table=22</t>
        </r>
      </text>
    </comment>
    <comment ref="U42" authorId="0" shapeId="0" xr:uid="{00000000-0006-0000-0600-000018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https://www.bamsec.com/filing/183165121000027/1?cik=1831651&amp;table=25</t>
        </r>
      </text>
    </comment>
    <comment ref="V42" authorId="0" shapeId="0" xr:uid="{00000000-0006-0000-0600-000019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https://www.bamsec.com/filing/183165122000008/1?cik=1831651&amp;table=18</t>
        </r>
      </text>
    </comment>
    <comment ref="W42" authorId="0" shapeId="0" xr:uid="{00000000-0006-0000-0600-00001A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https://www.bamsec.com/filing/183165122000032/1?cik=1831651&amp;table=34</t>
        </r>
      </text>
    </comment>
    <comment ref="X42" authorId="0" shapeId="0" xr:uid="{00000000-0006-0000-0600-00001B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https://www.bamsec.com/filing/183165122000048/1?cik=1831651&amp;table=37</t>
        </r>
      </text>
    </comment>
    <comment ref="Y50" authorId="0" shapeId="0" xr:uid="{CAA6BF20-25A1-4BD8-B1AB-F3C4D9E1F0A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based on % of revenue</t>
        </r>
      </text>
    </comment>
    <comment ref="Z50" authorId="0" shapeId="0" xr:uid="{8582CB0A-A2F8-48FE-8EF3-17920E9587A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based on % of revenue</t>
        </r>
      </text>
    </comment>
    <comment ref="AA50" authorId="0" shapeId="0" xr:uid="{F3E312EF-3DA7-4508-B261-CF683DB457D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based on % of revenue</t>
        </r>
      </text>
    </comment>
    <comment ref="AB50" authorId="0" shapeId="0" xr:uid="{C6CF3F0C-91D1-472A-9246-8FBFA353ED2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based on % of revenue</t>
        </r>
      </text>
    </comment>
    <comment ref="AC50" authorId="0" shapeId="0" xr:uid="{91901B9A-2063-4271-A998-048035349D1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based on % of revenue</t>
        </r>
      </text>
    </comment>
    <comment ref="AD50" authorId="0" shapeId="0" xr:uid="{9E515892-78E5-436D-8F64-0E517870C2A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based on % of revenue</t>
        </r>
      </text>
    </comment>
    <comment ref="J89" authorId="0" shapeId="0" xr:uid="{00000000-0006-0000-0600-00001C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PP&amp;E  is currently ~30% through useful life on a blended basis, leaving ~8 years based on a weighted average life</t>
        </r>
      </text>
    </comment>
    <comment ref="E92" authorId="0" shapeId="0" xr:uid="{00000000-0006-0000-0600-00001D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Estimated based on current FA schedule</t>
        </r>
      </text>
    </comment>
    <comment ref="H104" authorId="0" shapeId="0" xr:uid="{00000000-0006-0000-0600-00001E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https://www.bamsec.com/filing/183165122000008/1?cik=1831651&amp;table=33</t>
        </r>
      </text>
    </comment>
    <comment ref="I104" authorId="0" shapeId="0" xr:uid="{00000000-0006-0000-0600-00001F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https://www.bamsec.com/filing/183165122000008/1?cik=1831651&amp;table=33</t>
        </r>
      </text>
    </comment>
    <comment ref="J104" authorId="0" shapeId="0" xr:uid="{00000000-0006-0000-0600-000020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https://www.bamsec.com/filing/183165122000008/1?cik=1831651&amp;table=33</t>
        </r>
      </text>
    </comment>
    <comment ref="K104" authorId="0" shapeId="0" xr:uid="{00000000-0006-0000-0600-000021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https://www.bamsec.com/filing/183165122000008/1?cik=1831651&amp;table=33</t>
        </r>
      </text>
    </comment>
    <comment ref="L104" authorId="0" shapeId="0" xr:uid="{00000000-0006-0000-0600-000022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https://www.bamsec.com/filing/183165122000008/1?cik=1831651&amp;table=33</t>
        </r>
      </text>
    </comment>
    <comment ref="M104" authorId="0" shapeId="0" xr:uid="{00000000-0006-0000-0600-000023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https://www.bamsec.com/filing/183165122000008/1?cik=1831651&amp;table=33</t>
        </r>
      </text>
    </comment>
    <comment ref="D114" authorId="0" shapeId="0" xr:uid="{00000000-0006-0000-0600-000024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https://www.bamsec.com/filing/183165122000048/1?cik=1831651&amp;hl=44139:44144&amp;hl_id=eknvxtbv6</t>
        </r>
      </text>
    </comment>
    <comment ref="E114" authorId="0" shapeId="0" xr:uid="{00000000-0006-0000-0600-000025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https://www.bamsec.com/filing/183165122000048/1?cik=1831651&amp;hl=42378:42385&amp;hl_id=ejeaxfbn6</t>
        </r>
      </text>
    </comment>
    <comment ref="F114" authorId="0" shapeId="0" xr:uid="{00000000-0006-0000-0600-000026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https://www.bamsec.com/filing/183165122000048/1?cik=1831651&amp;hl=44610:44614&amp;hl_id=41237fr4a</t>
        </r>
      </text>
    </comment>
    <comment ref="D115" authorId="0" shapeId="0" xr:uid="{00000000-0006-0000-0600-000027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https://www.bamsec.com/filing/183165122000048/1?cik=1831651&amp;hl=42762:42768&amp;hl_id=4jkpvtrnt</t>
        </r>
      </text>
    </comment>
    <comment ref="E115" authorId="0" shapeId="0" xr:uid="{00000000-0006-0000-0600-000028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https://www.bamsec.com/filing/183165122000048/1?cik=1831651&amp;hl=42336:42344&amp;hl_id=eketeyhnt</t>
        </r>
      </text>
    </comment>
    <comment ref="F115" authorId="0" shapeId="0" xr:uid="{00000000-0006-0000-0600-000029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https://www.bamsec.com/filing/183165122000048/1?cik=1831651&amp;hl=44610:44614&amp;hl_id=v1cnvkrvt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F41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https://www.bamsec.com/filing/183165122000008/1?cik=1831651&amp;hl=252098:252104&amp;hl_id=v1p9y8hvt</t>
        </r>
      </text>
    </comment>
    <comment ref="G41" authorId="0" shapeId="0" xr:uid="{00000000-0006-0000-0700-000002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https://www.bamsec.com/filing/183165122000048/1?cik=1831651&amp;hl=28707:28714&amp;hl_id=ejfxclrvt</t>
        </r>
      </text>
    </comment>
    <comment ref="Q41" authorId="0" shapeId="0" xr:uid="{00000000-0006-0000-0700-000003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https://www.bamsec.com/filing/183165122000008/1?cik=1831651&amp;hl=252098:252104&amp;hl_id=v1p9y8hvt</t>
        </r>
      </text>
    </comment>
    <comment ref="R41" authorId="0" shapeId="0" xr:uid="{00000000-0006-0000-0700-000004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https://www.bamsec.com/filing/183165122000032/1?cik=1831651&amp;table=11</t>
        </r>
      </text>
    </comment>
    <comment ref="S41" authorId="0" shapeId="0" xr:uid="{00000000-0006-0000-0700-00000500000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https://www.bamsec.com/filing/183165122000048/1?cik=1831651&amp;hl=28707:28714&amp;hl_id=ejfxclrvt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D2" authorId="0" shapeId="0" xr:uid="{5E95CE2A-BA50-42F3-910C-054893EB2A8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https://www.bamsec.com/filing/183165121000010/1?cik=1831651&amp;table=6</t>
        </r>
      </text>
    </comment>
    <comment ref="E2" authorId="0" shapeId="0" xr:uid="{97C61319-976D-4F7C-94B6-CD7C7086E30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https://www.bamsec.com/filing/183165121000017/1?cik=1831651&amp;table=6</t>
        </r>
      </text>
    </comment>
    <comment ref="F2" authorId="0" shapeId="0" xr:uid="{3FFE8DB1-3C9E-4E54-B152-7B9063A642F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https://www.bamsec.com/filing/183165121000027/1?cik=1831651&amp;table=6</t>
        </r>
      </text>
    </comment>
    <comment ref="G2" authorId="0" shapeId="0" xr:uid="{56CD2CE5-763D-4563-A907-56D117467F8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https://www.bamsec.com/filing/183165122000008/1?cik=1831651&amp;table=18</t>
        </r>
      </text>
    </comment>
    <comment ref="J4" authorId="0" shapeId="0" xr:uid="{727072F5-711D-4962-B10D-F675F913F8D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CEO: "[Backlog]…definitely not 100% solar"
Statement 
https://www.bamsec.com/transcripts/15284905?hl_id=ej0uc_tnt
</t>
        </r>
      </text>
    </comment>
    <comment ref="D8" authorId="0" shapeId="0" xr:uid="{22580604-B14E-4953-8F1B-91027F398F4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https://www.bamsec.com/filing/183165122000032/1?cik=1831651&amp;table=32</t>
        </r>
      </text>
    </comment>
    <comment ref="E8" authorId="0" shapeId="0" xr:uid="{8E00C86A-91F5-42D0-A01A-7E5816F8603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https://www.bamsec.com/filing/183165122000048/1?cik=1831651&amp;table=35</t>
        </r>
      </text>
    </comment>
    <comment ref="H8" authorId="0" shapeId="0" xr:uid="{ED4D8E77-6AA3-408A-A962-3C2A7437CF9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https://www.bamsec.com/filing/183165122000008/1?cik=1831651&amp;table=46</t>
        </r>
      </text>
    </comment>
    <comment ref="I8" authorId="0" shapeId="0" xr:uid="{F557510A-4BF5-4777-A0DB-A33EEEC041D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https://www.bamsec.com/filing/183165122000032/1?cik=1831651&amp;table=32</t>
        </r>
      </text>
    </comment>
    <comment ref="J8" authorId="0" shapeId="0" xr:uid="{3F9ABC04-5598-46EB-8A4C-E29906B6AA9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https://www.bamsec.com/filing/183165122000048/1?cik=1831651&amp;table=35</t>
        </r>
      </text>
    </comment>
    <comment ref="D9" authorId="0" shapeId="0" xr:uid="{CD35DA5F-F2F0-4CE4-8C89-7221CD1F54B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https://www.bamsec.com/filing/183165122000032/1?cik=1831651&amp;table=32</t>
        </r>
      </text>
    </comment>
    <comment ref="E9" authorId="0" shapeId="0" xr:uid="{1DE81B54-226F-470A-A5FF-1B23359DA32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https://www.bamsec.com/filing/183165122000048/1?cik=1831651&amp;table=35</t>
        </r>
      </text>
    </comment>
    <comment ref="H9" authorId="0" shapeId="0" xr:uid="{1C5437CA-0BDF-490A-8401-BFB4408013B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https://www.bamsec.com/filing/183165122000008/1?cik=1831651&amp;table=46</t>
        </r>
      </text>
    </comment>
    <comment ref="I9" authorId="0" shapeId="0" xr:uid="{359A8F65-62A1-4DEE-B351-F3C5F93580C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https://www.bamsec.com/filing/183165122000032/1?cik=1831651&amp;table=32</t>
        </r>
      </text>
    </comment>
    <comment ref="J9" authorId="0" shapeId="0" xr:uid="{698DA8B8-ABD4-43C2-A748-D5C345FE1A0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https://www.bamsec.com/filing/183165122000048/1?cik=1831651&amp;table=35</t>
        </r>
      </text>
    </comment>
    <comment ref="J23" authorId="0" shapeId="0" xr:uid="{BF35D05A-017E-4823-AE4D-2BE6207B10A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Q2 2022 earnings call:
"Components revenue increased 97% year-over-year, driven by increases in shipments of battery storage products as well as shipments of solar products to a significant number of new customers"
Assigning a 50% weighting to Storage revenue, absent of further information
https://www.bamsec.com/transcripts/15284905?hl_id=4yonkdtet</t>
        </r>
      </text>
    </comment>
    <comment ref="N23" authorId="0" shapeId="0" xr:uid="{D54A438C-06A5-4D08-A17B-C2D9D90E33B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10% growth on annualized 2022 forecasted NR</t>
        </r>
      </text>
    </comment>
    <comment ref="K26" authorId="0" shapeId="0" xr:uid="{E966D843-2EFA-4589-A343-831E4D383B5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estimate based on storage revenue estimate</t>
        </r>
      </text>
    </comment>
    <comment ref="N26" authorId="0" shapeId="0" xr:uid="{18B09A3B-8D91-4E57-AE6D-0671FF296E3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10% growth on annualized 2022 forecasted NR</t>
        </r>
      </text>
    </comment>
    <comment ref="H45" authorId="0" shapeId="0" xr:uid="{2E9EB3C1-C327-40AE-92F7-B0E46FF123FE}">
      <text>
        <r>
          <rPr>
            <b/>
            <sz val="9"/>
            <color indexed="81"/>
            <rFont val="Tahoma"/>
            <charset val="1"/>
          </rPr>
          <t>eric schmitt:</t>
        </r>
        <r>
          <rPr>
            <sz val="9"/>
            <color indexed="81"/>
            <rFont val="Tahoma"/>
            <charset val="1"/>
          </rPr>
          <t xml:space="preserve">
https://www.seia.org/research-resources/solar-market-insight-report-2021-year-review#:~:text=Key%20Figures%201%20In%202021%2C%20the%20US%20solar,for%20utility%20solar%20in%20the%20state.%20More%20items</t>
        </r>
      </text>
    </comment>
    <comment ref="U45" authorId="0" shapeId="0" xr:uid="{12B6A77D-B09D-4358-8506-A340CB2CA12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estimated based on Wood Mack graph (right)
</t>
        </r>
      </text>
    </comment>
    <comment ref="H50" authorId="0" shapeId="0" xr:uid="{616FEDE2-3DCE-496A-BBD1-FC5B0175A65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investor presentation 2022 p25:
Target and current products "Wallet" 1.5 cents + 2.0 cents</t>
        </r>
      </text>
    </comment>
    <comment ref="H58" authorId="0" shapeId="0" xr:uid="{54C0D551-B0A2-49EC-86AD-2681EDE23BB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p25 Q2 investor presentation
NREL 2021 US Solar PV system and energy storage cost benchmarks (p36). Based on average of NREL estimates for EBOS cost for two-and four-hour duration 60 MW battery storage systems. Assymes 1 MW of batttery capacity for every 4 MW of solar capacity</t>
        </r>
      </text>
    </comment>
    <comment ref="H64" authorId="0" shapeId="0" xr:uid="{A7C05917-BF8F-46CE-A1A6-DCAEDAACDD6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8.8 cents per watt minus 5.6 cents per watt Solar+storage and solar standalone, respectively
p25 q2 2022 investor presentation</t>
        </r>
      </text>
    </comment>
    <comment ref="H73" authorId="0" shapeId="0" xr:uid="{D52F315C-063B-4B5C-9DA2-134658314C8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BNEF Charging Infra Forecast Model CIFM 3.0.1, June 2022</t>
        </r>
      </text>
    </comment>
    <comment ref="P73" authorId="0" shapeId="0" xr:uid="{3844099D-D9AE-41F8-BCC3-D7EAB964DD3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BNEF Charging Infra Forecast Model CIFM 3.0.1, June 2022</t>
        </r>
      </text>
    </comment>
    <comment ref="Q74" authorId="0" shapeId="0" xr:uid="{C4BC9848-5C09-4EAF-B3A9-987E88EDBF6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estimate</t>
        </r>
      </text>
    </comment>
    <comment ref="M78" authorId="0" shapeId="0" xr:uid="{1C717E0D-3D55-4625-83AD-81206396057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Shoals Q2 2022 investor presentation p32</t>
        </r>
      </text>
    </comment>
    <comment ref="H80" authorId="0" shapeId="0" xr:uid="{504E642B-4644-4D99-9228-282C6FE2BBD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estimated based on 22→23 growth as per BNEF</t>
        </r>
      </text>
    </comment>
    <comment ref="AC98" authorId="0" shapeId="0" xr:uid="{33D14D64-EAA5-4458-BA69-837D03F7B264}">
      <text>
        <r>
          <rPr>
            <b/>
            <sz val="9"/>
            <color indexed="81"/>
            <rFont val="Tahoma"/>
            <charset val="1"/>
          </rPr>
          <t>eric schmitt:</t>
        </r>
        <r>
          <rPr>
            <sz val="9"/>
            <color indexed="81"/>
            <rFont val="Tahoma"/>
            <charset val="1"/>
          </rPr>
          <t xml:space="preserve">
https://www.seia.org/research-resources/solar-market-insight-report-2021-year-review#:~:text=Key%20Figures%201%20In%202021%2C%20the%20US%20solar,for%20utility%20solar%20in%20the%20state.%20More%20items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7" authorId="0" shapeId="0" xr:uid="{2DADE89C-A881-4987-A427-5F3C67F82ED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7" authorId="0" shapeId="0" xr:uid="{DAD8E22A-5081-4866-88A3-6F3A79D2DF0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G12" authorId="0" shapeId="0" xr:uid="{9333DEE1-7C7F-4EA3-A7B3-EF74CA49ECB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20 yr treasury as of 10/28/22
https://home.treasury.gov/resource-center/data-chart-center/interest-rates/TextView?type=daily_treasury_yield_curve&amp;field_tdr_date_value=2022</t>
        </r>
      </text>
    </comment>
    <comment ref="G17" authorId="0" shapeId="0" xr:uid="{DD8E44D3-3631-4B9F-988B-38827AF0718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SOFR+325 on TL
</t>
        </r>
      </text>
    </comment>
    <comment ref="G18" authorId="0" shapeId="0" xr:uid="{BAF6AC9C-B6F1-4494-8BA2-5E4EEF42F20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Corp tax rate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F3" authorId="0" shapeId="0" xr:uid="{6141AB9A-06CC-4509-A6B7-6F0523EAD7B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10" authorId="0" shapeId="0" xr:uid="{F2343E2B-7927-4257-A472-7C62F298B01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13" authorId="0" shapeId="0" xr:uid="{4A2ED808-DDB2-4E4F-8D42-8AD5791B03B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China corp tax rate</t>
        </r>
      </text>
    </comment>
    <comment ref="Q14" authorId="0" shapeId="0" xr:uid="{875534F3-6FDA-4595-858C-18184D85710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15" authorId="0" shapeId="0" xr:uid="{99C536C3-8FEF-4807-80A2-DC381072A31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Spain corp tax rate</t>
        </r>
      </text>
    </comment>
    <comment ref="Q25" authorId="0" shapeId="0" xr:uid="{DB795440-3D4A-4EA5-A576-858431B4861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26" authorId="0" shapeId="0" xr:uid="{6209D29E-AA1E-498F-9BF6-DE0B5745449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27" authorId="0" shapeId="0" xr:uid="{A39FC8BD-E55E-41D7-B7C9-1852781C719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Germany corp tax rate
</t>
        </r>
      </text>
    </comment>
    <comment ref="Q28" authorId="0" shapeId="0" xr:uid="{D7EA4808-4484-492C-93B6-048B1840063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38" authorId="0" shapeId="0" xr:uid="{556E07E5-60B2-4A2A-9F67-0F654F1370E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39" authorId="0" shapeId="0" xr:uid="{E02DD5DC-6776-4E6C-9F09-37D708C714F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40" authorId="0" shapeId="0" xr:uid="{2434B5EF-B792-4C2A-8279-5B88E25F3E7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41" authorId="0" shapeId="0" xr:uid="{2F04307A-523D-47E3-BD40-500D54F66DB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51" authorId="0" shapeId="0" xr:uid="{B5664DE3-BBAF-4BBC-8C2D-C45A03B5192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52" authorId="0" shapeId="0" xr:uid="{1B423ED6-7FA1-4A70-BA71-8511027D53C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  <comment ref="Q53" authorId="0" shapeId="0" xr:uid="{8E00A618-CC44-480A-A006-060F75B6531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US Corp Tax rate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E54715E8-35B2-4A94-BE6F-A4608B2DC81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 Gu shares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27B7C61F-48CD-4AB0-A709-33CF03FDE0C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https://www.bamsec.com/filing/182072122000112/1?cik=1820721&amp;hl=2726:2738&amp;hl_id=ey5sbtz46</t>
        </r>
      </text>
    </comment>
    <comment ref="D12" authorId="0" shapeId="0" xr:uid="{77F451E7-5C1D-4144-9678-9FFE4228175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https://www.bamsec.com/filing/182072122000050/1?cik=1820721&amp;hl=60205:60215&amp;hl_id=4jmrbtz4p</t>
        </r>
      </text>
    </comment>
    <comment ref="D13" authorId="0" shapeId="0" xr:uid="{DDBC29CC-E4FF-4B18-93A8-176239A7E91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https://www.bamsec.com/filing/182072122000050/1?cik=1820721&amp;hl=60403:60411&amp;hl_id=4kpultz4a</t>
        </r>
      </text>
    </comment>
    <comment ref="L17" authorId="0" shapeId="0" xr:uid="{4320DB53-47B8-4659-94BC-29087E71384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https://www.bamsec.com/filing/182072122000112/1?cik=1820721&amp;hl=5094:5102&amp;hl_id=ejahu6zna</t>
        </r>
      </text>
    </comment>
    <comment ref="L19" authorId="0" shapeId="0" xr:uid="{306A6F5A-6874-4E3B-82B5-BFF9B33E32F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https://www.bamsec.com/filing/182072122000112/1?cik=1820721&amp;hl=5498:5506&amp;hl_id=vylovpm4t</t>
        </r>
      </text>
    </comment>
    <comment ref="L21" authorId="0" shapeId="0" xr:uid="{3C5ABB3D-1277-4B03-94DA-FDC399769B4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https://www.bamsec.com/filing/182072122000112/1?cik=1820721&amp;hl=4035:4042&amp;hl_id=nyead6gn6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D23BB6E9-3FE2-4931-AEF7-899F2FD09E2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A Gu shares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0129DA1C-303F-4C6E-9E52-125FB0BBCE3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https://www.bamsec.com/filing/146310122000112/1?cik=1463101&amp;hl=2628:2639&amp;hl_id=nk_wevu4p</t>
        </r>
      </text>
    </comment>
    <comment ref="D12" authorId="0" shapeId="0" xr:uid="{069A0621-148D-46BC-A298-824FA467233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https://www.bamsec.com/filing/146310122000112/1?cik=1463101&amp;table=54</t>
        </r>
      </text>
    </comment>
    <comment ref="E12" authorId="0" shapeId="0" xr:uid="{57693F11-897D-4C62-9D51-284629AFFAF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https://www.bamsec.com/filing/146310122000112/1?cik=1463101&amp;table=54</t>
        </r>
      </text>
    </comment>
    <comment ref="D13" authorId="0" shapeId="0" xr:uid="{F05E9C51-2CAF-4552-A90C-246BD027BA3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https://www.bamsec.com/filing/146310122000112/1?cik=1463101&amp;table=54</t>
        </r>
      </text>
    </comment>
    <comment ref="E13" authorId="0" shapeId="0" xr:uid="{50EABEBC-6F00-4ACC-BEBD-30EE209DFB5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https://www.bamsec.com/filing/146310122000112/1?cik=1463101&amp;table=54</t>
        </r>
      </text>
    </comment>
    <comment ref="D14" authorId="0" shapeId="0" xr:uid="{1688B704-C164-4A9F-BC1E-4ACE25EC5B9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https://www.bamsec.com/filing/146310122000112/1?cik=1463101&amp;table=54</t>
        </r>
      </text>
    </comment>
    <comment ref="E14" authorId="0" shapeId="0" xr:uid="{72BCAD54-4A7A-4CB0-B587-BD6E314A5E6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https://www.bamsec.com/filing/146310122000112/1?cik=1463101&amp;table=54</t>
        </r>
      </text>
    </comment>
    <comment ref="D15" authorId="0" shapeId="0" xr:uid="{8C776A4B-7FA3-448D-BC94-E3E866B80D0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https://www.bamsec.com/filing/146310122000112/1?cik=1463101&amp;table=54</t>
        </r>
      </text>
    </comment>
    <comment ref="E15" authorId="0" shapeId="0" xr:uid="{B1701C54-D467-445A-8A1F-4B30D1CAB49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https://www.bamsec.com/filing/146310122000112/1?cik=1463101&amp;table=54</t>
        </r>
      </text>
    </comment>
    <comment ref="D16" authorId="0" shapeId="0" xr:uid="{2D1830B9-46C5-4985-B7C2-A3B112172EC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https://www.bamsec.com/filing/146310122000112/1?cik=1463101&amp;table=54</t>
        </r>
      </text>
    </comment>
    <comment ref="E16" authorId="0" shapeId="0" xr:uid="{0B86C6D7-A488-422A-A3DF-57EE1718037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https://www.bamsec.com/filing/146310122000112/1?cik=1463101&amp;table=54</t>
        </r>
      </text>
    </comment>
    <comment ref="D17" authorId="0" shapeId="0" xr:uid="{C70DD6F9-4F98-4FC4-A3F3-0779CF5B426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https://www.bamsec.com/filing/146310122000112/1?cik=1463101&amp;hl=101230:101236&amp;hl_id=eymlhduea</t>
        </r>
      </text>
    </comment>
    <comment ref="L17" authorId="0" shapeId="0" xr:uid="{B4843B08-898A-4FA1-9E8F-0944F4E61B7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https://www.bamsec.com/filing/146310122000112/1?cik=1463101&amp;hl=5236:5246&amp;hl_id=v1qrrplnt</t>
        </r>
      </text>
    </comment>
    <comment ref="D18" authorId="0" shapeId="0" xr:uid="{488CD9E6-C2E7-446A-B0DF-49B0A6E5E59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https://www.bamsec.com/filing/146310122000112/1?cik=1463101&amp;hl=102061:102065&amp;hl_id=v124bdiea</t>
        </r>
      </text>
    </comment>
    <comment ref="L18" authorId="0" shapeId="0" xr:uid="{84F8E5C3-CD0E-46A4-B8DC-6F7D0DA4006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https://www.bamsec.com/filing/146310122000112/1?cik=1463101&amp;table=40</t>
        </r>
      </text>
    </comment>
    <comment ref="L22" authorId="0" shapeId="0" xr:uid="{ABC2A3AA-F8EA-499A-B3DB-3C849A4EC5F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https://www.bamsec.com/filing/146310122000112/1?cik=1463101&amp;hl=4019:4027&amp;hl_id=4jn2hp8nt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49BDA50D-1C56-43E8-871F-AA5403F59DA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https://www.bamsec.com/filing/143774922019367/1?cik=1474735&amp;hl=2741:2751&amp;hl_id=ekmqyouvt</t>
        </r>
      </text>
    </comment>
    <comment ref="L17" authorId="0" shapeId="0" xr:uid="{7DCC998D-3ACB-4AC5-B95D-E5F3E38C88F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https://www.bamsec.com/filing/143774922019367/1?cik=1474735&amp;hl=7049:7058&amp;hl_id=nyfty_un6</t>
        </r>
      </text>
    </comment>
    <comment ref="L19" authorId="0" shapeId="0" xr:uid="{159AA8F4-E087-4F3C-97D7-9E761602BFA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https://www.bamsec.com/filing/143774922019367/1?cik=1474735&amp;hl=7277:7283&amp;hl_id=v194mu8na</t>
        </r>
      </text>
    </comment>
    <comment ref="L22" authorId="0" shapeId="0" xr:uid="{EEF3FEBF-C16C-4103-B602-021E73FC640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https://www.bamsec.com/filing/143774922019367/1?cik=1474735&amp;hl=5918:5925&amp;hl_id=njkgfu84a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A266FF0E-7948-4E59-B731-E0B31DAD548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https://www.bamsec.com/filing/117891322002939/1?cik=1419612&amp;hl=4797:4808&amp;hl_id=vj086dlvp</t>
        </r>
      </text>
    </comment>
    <comment ref="D12" authorId="0" shapeId="0" xr:uid="{B16D3B36-EE65-44D2-9F44-F84B6F4FB22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https://www.bamsec.com/filing/117891322002939/1?cik=1419612&amp;hl=140429:140436&amp;hl_id=vkc00d8nt</t>
        </r>
      </text>
    </comment>
    <comment ref="D13" authorId="0" shapeId="0" xr:uid="{BBAE5F44-8194-4960-A9C3-358542F01F9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https://www.bamsec.com/filing/117891322002939/1?cik=1419612&amp;hl=145054:145063&amp;hl_id=4yuj1oi4t</t>
        </r>
      </text>
    </comment>
    <comment ref="D14" authorId="0" shapeId="0" xr:uid="{247EB5B8-F6F8-4C73-8878-4DFC3D3C01E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https://www.bamsec.com/filing/117891322002939/1?cik=1419612&amp;hl=146774:146781&amp;hl_id=vyezyulea</t>
        </r>
      </text>
    </comment>
    <comment ref="L17" authorId="0" shapeId="0" xr:uid="{A4D0AA6A-CAAB-46F3-999C-17A174A6A9CE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https://www.bamsec.com/filing/117891322002939/1?cik=1419612&amp;hl=16011:16018&amp;hl_id=vjartp8ea</t>
        </r>
      </text>
    </comment>
    <comment ref="L22" authorId="0" shapeId="0" xr:uid="{BA3F6308-CEC0-4DA5-BFE9-485B83DC5A2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https://www.bamsec.com/filing/146310122000112/1?cik=1463101&amp;hl=4019:4027&amp;hl_id=4jn2hp8nt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9EB9A15F-046D-4F3B-BAF2-92C9F5D7C66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https://www.bamsec.com/filing/110465922092347/2?cik=1375877&amp;hl=45421:45431&amp;hl_id=njbbydu4p</t>
        </r>
      </text>
    </comment>
    <comment ref="D12" authorId="0" shapeId="0" xr:uid="{41BC1131-126C-4391-AC8D-9E720632ADD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https://www.bamsec.com/filing/110465922109460/1?cik=1375877&amp;hl=838143:838150&amp;hl_id=4yzxtafe6</t>
        </r>
      </text>
    </comment>
    <comment ref="E12" authorId="0" shapeId="0" xr:uid="{091DC477-0D4D-4057-A1DA-64BBDE4F6B8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https://www.bamsec.com/filing/110465922109460/1?cik=1375877&amp;hl=838213:838218&amp;hl_id=41xzypmet</t>
        </r>
      </text>
    </comment>
    <comment ref="D13" authorId="0" shapeId="0" xr:uid="{8B4DFD6F-87C6-46CB-909A-B538966A7A97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https://www.bamsec.com/filing/110465922109460/1?cik=1375877&amp;hl=384982:384990&amp;hl_id=vk6yyafvt</t>
        </r>
      </text>
    </comment>
    <comment ref="D14" authorId="0" shapeId="0" xr:uid="{504E1C7B-132E-499F-8121-199DA1EA52F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https://www.bamsec.com/filing/110465922109460/1?cik=1375877&amp;hl=385013:385023&amp;hl_id=vybtf6get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7A9A2AA1-CD7B-4086-8BA2-7BBBB070991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https://www.bamsec.com/filing/127449422000040/1?cik=1274494&amp;hl=2502:2514&amp;hl_id=vknbndlvt</t>
        </r>
      </text>
    </comment>
    <comment ref="D13" authorId="0" shapeId="0" xr:uid="{6950301F-101F-4CB9-9217-FB2962CEEC2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https://www.bamsec.com/filing/127449422000009/1?cik=1274494&amp;hl=267364:267374&amp;hl_id=njn5qqina</t>
        </r>
      </text>
    </comment>
    <comment ref="L17" authorId="0" shapeId="0" xr:uid="{A91B06A7-54B9-4869-BF05-134D648D50C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https://www.bamsec.com/filing/127449422000040/1?cik=1274494&amp;hl=7164:7172&amp;hl_id=415aq9unp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44C284CF-57B9-4702-8551-F2AEC968290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EST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EB1AEADB-2405-408E-B479-54A94D0889D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https://www.bamsec.com/filing/155837022015585/1?cik=820313&amp;hl=2630:2641&amp;hl_id=eyi0qq8ep</t>
        </r>
      </text>
    </comment>
    <comment ref="D13" authorId="0" shapeId="0" xr:uid="{04B50B1D-39CA-43A0-BF2C-0028E696D8E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https://www.bamsec.com/filing/155837022015585/1?cik=820313&amp;hl=61724:61734&amp;hl_id=v1znjc8v6</t>
        </r>
      </text>
    </comment>
    <comment ref="E13" authorId="0" shapeId="0" xr:uid="{6A54826E-76D1-46F7-9A27-043841D9D1AA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https://www.bamsec.com/filing/155837022015585/1?cik=820313&amp;hl=61737:61742&amp;hl_id=vkobsquva</t>
        </r>
      </text>
    </comment>
    <comment ref="L17" authorId="0" shapeId="0" xr:uid="{0C11B8F9-3AB7-4600-A9DB-AA3AF50417B4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https://www.bamsec.com/filing/155837022015585/1?cik=820313&amp;table=5</t>
        </r>
      </text>
    </comment>
    <comment ref="L19" authorId="0" shapeId="0" xr:uid="{D5DE0468-84E9-46D7-98DC-7AF264F4AC0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https://www.bamsec.com/filing/155837022015585/1?cik=820313&amp;table=5</t>
        </r>
      </text>
    </comment>
    <comment ref="L22" authorId="0" shapeId="0" xr:uid="{6E32E8CF-000A-4CB9-8616-6D20D20BA688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https://www.bamsec.com/filing/155837022015585/1?cik=820313&amp;table=5</t>
        </r>
      </text>
    </comment>
  </commentList>
</comments>
</file>

<file path=xl/comments2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16FAFB4D-A7D5-4E09-85EC-0D832B8EBF81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https://www.bamsec.com/filing/155118222000020/1?cik=1551182&amp;hl=2500:2506&amp;hl_id=vjrhyjivp</t>
        </r>
      </text>
    </comment>
    <comment ref="D13" authorId="0" shapeId="0" xr:uid="{F298EDC0-4B81-427D-B9CC-2F84F5AD6C4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https://www.bamsec.com/filing/155118222000004/1?cik=1551182&amp;hl=200116:200120&amp;hl_id=nylcksiep</t>
        </r>
      </text>
    </comment>
    <comment ref="E13" authorId="0" shapeId="0" xr:uid="{CE5B077B-6ACB-4869-8580-0DA1E99EE14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https://www.bamsec.com/filing/155118222000004/1?cik=1551182&amp;hl=200116:200120&amp;hl_id=nylcksiep</t>
        </r>
      </text>
    </comment>
    <comment ref="D14" authorId="0" shapeId="0" xr:uid="{7D17C4B0-262E-444B-942C-3AFCB85C61F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https://www.bamsec.com/filing/155118222000004/1?cik=1551182&amp;hl=195081:195085&amp;hl_id=4klckolva</t>
        </r>
      </text>
    </comment>
    <comment ref="D15" authorId="0" shapeId="0" xr:uid="{0BFB0CA0-725E-4DDF-B376-60FAD4D7501D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https://www.bamsec.com/filing/155118222000004/1?cik=1551182&amp;hl=197562:197566&amp;hl_id=41belsu4p</t>
        </r>
      </text>
    </comment>
    <comment ref="L17" authorId="0" shapeId="0" xr:uid="{43FA1975-7628-45D7-8435-DFE27BCEA39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https://www.bamsec.com/filing/155118222000020/1?cik=1551182&amp;table=9</t>
        </r>
      </text>
    </comment>
    <comment ref="L19" authorId="0" shapeId="0" xr:uid="{4E135998-6BFD-4EAE-A3BF-F986C919126F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https://www.bamsec.com/filing/155118222000020/1?cik=1551182&amp;table=9</t>
        </r>
      </text>
    </comment>
    <comment ref="L22" authorId="0" shapeId="0" xr:uid="{88A3FA60-F748-40D0-B9D8-6C6104CC9C0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https://www.bamsec.com/filing/155118222000020/1?cik=1551182&amp;table=9</t>
        </r>
      </text>
    </comment>
  </commentList>
</comments>
</file>

<file path=xl/comments2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C8" authorId="0" shapeId="0" xr:uid="{89417084-52CD-4675-8951-EC67ABF6E89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https://www.bamsec.com/filing/155837022011353/1?cik=1385157&amp;hl=2443:2454&amp;hl_id=n1bjh58vt</t>
        </r>
      </text>
    </comment>
    <comment ref="L17" authorId="0" shapeId="0" xr:uid="{B1D6A7C5-F081-42F1-AFC5-D16D30EBA649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https://www.bamsec.com/filing/155837022011353/1?cik=1385157&amp;hl=7424:7429&amp;hl_id=eknpc58et</t>
        </r>
      </text>
    </comment>
  </commentList>
</comments>
</file>

<file path=xl/comments2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 schmitt</author>
  </authors>
  <commentList>
    <comment ref="F4" authorId="0" shapeId="0" xr:uid="{73020C93-5377-44A9-9E61-9997FC4FCD82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https://www.bamsec.com/filing/183165121000010/1?cik=1831651&amp;table=11</t>
        </r>
      </text>
    </comment>
    <comment ref="I4" authorId="0" shapeId="0" xr:uid="{E7E8B708-99CA-4289-A4D3-B003B0A7E7B5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https://www.bamsec.com/filing/183165121000017/1?cik=1831651&amp;table=11</t>
        </r>
      </text>
    </comment>
    <comment ref="L4" authorId="0" shapeId="0" xr:uid="{A26BBD07-9F7D-491A-94A3-1EDE80F721D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https://www.bamsec.com/filing/183165121000017/1?cik=1831651&amp;table=11</t>
        </r>
      </text>
    </comment>
    <comment ref="O4" authorId="0" shapeId="0" xr:uid="{4032547F-F9AA-4403-A7E4-EDB2E9B57AE0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https://www.bamsec.com/filing/183165121000017/1?cik=1831651&amp;table=11</t>
        </r>
      </text>
    </comment>
    <comment ref="S4" authorId="0" shapeId="0" xr:uid="{BA980785-44FC-4D94-BC99-26446908F1E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https://www.bamsec.com/filing/183165121000010/1?cik=1831651&amp;table=11</t>
        </r>
      </text>
    </comment>
    <comment ref="W4" authorId="0" shapeId="0" xr:uid="{73DB0CE4-F9C4-4293-A748-C81346E3455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https://www.bamsec.com/filing/183165121000017/1?cik=1831651&amp;table=11</t>
        </r>
      </text>
    </comment>
    <comment ref="AA4" authorId="0" shapeId="0" xr:uid="{82D1D5AC-755A-4352-A648-57C41D36975B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https://www.bamsec.com/filing/183165121000027/1?cik=1831651&amp;table=13</t>
        </r>
      </text>
    </comment>
    <comment ref="AE4" authorId="0" shapeId="0" xr:uid="{9C846E42-8131-4ACC-840D-C3D246D5A506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https://www.bamsec.com/filing/183165122000032/1?cik=1831651&amp;table=12</t>
        </r>
      </text>
    </comment>
    <comment ref="AI4" authorId="0" shapeId="0" xr:uid="{D46CC33F-2F78-44B1-8188-0803159F05E3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https://www.bamsec.com/filing/183165122000032/1?cik=1831651&amp;table=12</t>
        </r>
      </text>
    </comment>
    <comment ref="AM4" authorId="0" shapeId="0" xr:uid="{8C1FA164-4877-483F-AEAB-20BD3B3E9FAC}">
      <text>
        <r>
          <rPr>
            <b/>
            <sz val="9"/>
            <color indexed="81"/>
            <rFont val="Tahoma"/>
            <family val="2"/>
          </rPr>
          <t>eric schmitt:</t>
        </r>
        <r>
          <rPr>
            <sz val="9"/>
            <color indexed="81"/>
            <rFont val="Tahoma"/>
            <family val="2"/>
          </rPr>
          <t xml:space="preserve">
https://www.bamsec.com/filing/183165122000048/1?cik=1831651&amp;table=12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<sst xmlns="http://schemas.openxmlformats.org/spreadsheetml/2006/main" count="2185" uniqueCount="708">
  <si>
    <t>&lt;LEFT BLANK&gt;</t>
  </si>
  <si>
    <t>SHLS</t>
  </si>
  <si>
    <t>Summary Financials</t>
  </si>
  <si>
    <t>Balance Sheet</t>
  </si>
  <si>
    <t>Cash Flow</t>
  </si>
  <si>
    <t>Ticker</t>
  </si>
  <si>
    <t>Price</t>
  </si>
  <si>
    <t>As Of</t>
  </si>
  <si>
    <t>Market Capitalization</t>
  </si>
  <si>
    <t>Options</t>
  </si>
  <si>
    <t>WAEP</t>
  </si>
  <si>
    <t>In / Out</t>
  </si>
  <si>
    <t>Proceeds</t>
  </si>
  <si>
    <t>Total</t>
  </si>
  <si>
    <t>Total ITM</t>
  </si>
  <si>
    <t>Shares Repurchased</t>
  </si>
  <si>
    <t>Shares Issues (Dilution)</t>
  </si>
  <si>
    <t>Fully Diluted Shares Outstanding</t>
  </si>
  <si>
    <t>Target Price Premium</t>
  </si>
  <si>
    <t>Fully-Diluted Shares</t>
  </si>
  <si>
    <t>Basic Shares</t>
  </si>
  <si>
    <t>Target Price</t>
  </si>
  <si>
    <t>Implied Equity Value</t>
  </si>
  <si>
    <t>Plus: Debt</t>
  </si>
  <si>
    <t>Less: Cash &amp; Cash Equivalents</t>
  </si>
  <si>
    <t>Implied Total Enterprise Value</t>
  </si>
  <si>
    <t>RSUs</t>
  </si>
  <si>
    <t>PSUs</t>
  </si>
  <si>
    <t>Plus: NCI</t>
  </si>
  <si>
    <t>Revenue</t>
  </si>
  <si>
    <t>% Growth</t>
  </si>
  <si>
    <t>EBITDA</t>
  </si>
  <si>
    <t>% Margin</t>
  </si>
  <si>
    <t>Less: D&amp;A</t>
  </si>
  <si>
    <t>EBIT</t>
  </si>
  <si>
    <t>Plus: D&amp;A</t>
  </si>
  <si>
    <t>Less: Cash Taxes</t>
  </si>
  <si>
    <t>Less: CapEx</t>
  </si>
  <si>
    <t>Discount Period</t>
  </si>
  <si>
    <t>Discount Factor</t>
  </si>
  <si>
    <t>PV of Free Cash Flows</t>
  </si>
  <si>
    <t>EBITDA Multiple Methodology</t>
  </si>
  <si>
    <t>Perpetuity Growth Methodology</t>
  </si>
  <si>
    <t>Discount Rate</t>
  </si>
  <si>
    <t>Terminal EBITDA Multiple</t>
  </si>
  <si>
    <t>Discount Factor for Terminal Value</t>
  </si>
  <si>
    <t>Perpetuity Growth Rate</t>
  </si>
  <si>
    <t>Discount Factor for TV</t>
  </si>
  <si>
    <t>Tax Rate</t>
  </si>
  <si>
    <t>Terminal Year EBITDA</t>
  </si>
  <si>
    <t>Free Cash Flow in Terminal Year</t>
  </si>
  <si>
    <t>Terminal Value</t>
  </si>
  <si>
    <t>Present Value of Projection Period</t>
  </si>
  <si>
    <t>Present Value of Terminal Value</t>
  </si>
  <si>
    <t>Implied Enterprise Value</t>
  </si>
  <si>
    <t>Less: Net Debt</t>
  </si>
  <si>
    <t>FDSO</t>
  </si>
  <si>
    <t>Implied DCF Value Per Share</t>
  </si>
  <si>
    <t>DCF</t>
  </si>
  <si>
    <t>Growth %</t>
  </si>
  <si>
    <t>% of Revenue</t>
  </si>
  <si>
    <t>Cash and cash equivalents</t>
  </si>
  <si>
    <t>Assets</t>
  </si>
  <si>
    <t>Accounts receivable, net</t>
  </si>
  <si>
    <t>Unbilled receivables</t>
  </si>
  <si>
    <t>Other</t>
  </si>
  <si>
    <t>Goodwill</t>
  </si>
  <si>
    <t>Deferred tax assets</t>
  </si>
  <si>
    <t>Other assets</t>
  </si>
  <si>
    <t>Accrued expenses</t>
  </si>
  <si>
    <t>TSM Build</t>
  </si>
  <si>
    <t>Target Price Premium / (Discount)</t>
  </si>
  <si>
    <t>Less: Investments in Unconsolidated Subs</t>
  </si>
  <si>
    <t>ARRY</t>
  </si>
  <si>
    <t>Plus: Preferred</t>
  </si>
  <si>
    <t>CSIQ</t>
  </si>
  <si>
    <t>RSGs</t>
  </si>
  <si>
    <t>Q1</t>
  </si>
  <si>
    <t>Q2</t>
  </si>
  <si>
    <t>Q3</t>
  </si>
  <si>
    <t>Q4</t>
  </si>
  <si>
    <t>Non-controlling interests</t>
  </si>
  <si>
    <t>Shoals Technologies Group Model</t>
  </si>
  <si>
    <t>TICKER:</t>
  </si>
  <si>
    <t>Total Revenue</t>
  </si>
  <si>
    <t>Cost of Revenue</t>
  </si>
  <si>
    <t>Gross Profit</t>
  </si>
  <si>
    <t>USD in Millions</t>
  </si>
  <si>
    <t>Fiscal Year Ended December 31,</t>
  </si>
  <si>
    <t>Income Statement</t>
  </si>
  <si>
    <t>Actual</t>
  </si>
  <si>
    <t>Forecast</t>
  </si>
  <si>
    <t>Non-GAAP Income Statement</t>
  </si>
  <si>
    <t>Gross Margin %</t>
  </si>
  <si>
    <t>Selling, General &amp; Administrative</t>
  </si>
  <si>
    <t>SG&amp;A % of Revenue</t>
  </si>
  <si>
    <t>Depreciation % of Revenue</t>
  </si>
  <si>
    <t>Total Operating Expenses % of Revenue</t>
  </si>
  <si>
    <t>SG&amp;A YoY Growth %</t>
  </si>
  <si>
    <t>Margin %</t>
  </si>
  <si>
    <t>Amortization of Intangibles</t>
  </si>
  <si>
    <t>Amortization of Deferred Financing Fees</t>
  </si>
  <si>
    <t>GAAP Net Income</t>
  </si>
  <si>
    <t>Non-GAAP Adjusted Net Income</t>
  </si>
  <si>
    <t>Equity Based Compensation</t>
  </si>
  <si>
    <t>Operating Expenses:</t>
  </si>
  <si>
    <t>Total Operating Expenses</t>
  </si>
  <si>
    <t>Depreciation &amp; Amortization</t>
  </si>
  <si>
    <t>Income from Operations</t>
  </si>
  <si>
    <t>Interest Income / (Expense)</t>
  </si>
  <si>
    <t>Income Before Taxes</t>
  </si>
  <si>
    <t>Provision for Income Tax</t>
  </si>
  <si>
    <t>Net After-Tax Income</t>
  </si>
  <si>
    <t>Net Income as reported</t>
  </si>
  <si>
    <t>Plus: Provision for Income Tax</t>
  </si>
  <si>
    <t>Total Adjusted EBITDA</t>
  </si>
  <si>
    <t>Plus: Interest Expense, net</t>
  </si>
  <si>
    <t>Plus: Depreciation Expense</t>
  </si>
  <si>
    <t>Plus: Amortization of Intangibles</t>
  </si>
  <si>
    <t>Plus: Equity-Based Compensation</t>
  </si>
  <si>
    <t>Plus: COVID-19 Expenses</t>
  </si>
  <si>
    <t>Plus: Non-recurring and Other Expenses</t>
  </si>
  <si>
    <t>Adj. EBITDA Calculation</t>
  </si>
  <si>
    <t>Tax Receivable agreement liability adjustment</t>
  </si>
  <si>
    <t>Net Income to Shoals</t>
  </si>
  <si>
    <t>Plus: Loss on debt repayment</t>
  </si>
  <si>
    <t>Plus: Tax rececivable agreement liability adjustment</t>
  </si>
  <si>
    <t>Loss on debt repayment</t>
  </si>
  <si>
    <t>Plus: Acquisition-related expenses</t>
  </si>
  <si>
    <t>December 31,</t>
  </si>
  <si>
    <t>Current Assets</t>
  </si>
  <si>
    <t>Inventory, net</t>
  </si>
  <si>
    <t>Other current assets</t>
  </si>
  <si>
    <t>Total Current Assets</t>
  </si>
  <si>
    <t>Property, plant and equipment, net</t>
  </si>
  <si>
    <t>Other intangible assets, net</t>
  </si>
  <si>
    <t>Total Assets</t>
  </si>
  <si>
    <t>Liabilities and Members' Equity (Deficit)</t>
  </si>
  <si>
    <t>Current Liabilities</t>
  </si>
  <si>
    <t>Accounts payable</t>
  </si>
  <si>
    <t>Long-term debt-current portion</t>
  </si>
  <si>
    <t>Total Current Liabilities</t>
  </si>
  <si>
    <t>Revolving line of credit</t>
  </si>
  <si>
    <t>Long-term debt, less current portion</t>
  </si>
  <si>
    <t>Total Liabilities</t>
  </si>
  <si>
    <t>Commitments and Contingencies (Note 9)</t>
  </si>
  <si>
    <t>Members' Equity (Deficit)</t>
  </si>
  <si>
    <t>Total Liabilities and Members' Equity (Deficit)</t>
  </si>
  <si>
    <t>Source</t>
  </si>
  <si>
    <t>March 31, 2021</t>
  </si>
  <si>
    <t>December 31, 2020</t>
  </si>
  <si>
    <t>Deferred tax asset</t>
  </si>
  <si>
    <t>Liabilities and Stockholders' Deficit / Members' Deficit</t>
  </si>
  <si>
    <t>Payable Pursuant to the Tax Receivable Agreement</t>
  </si>
  <si>
    <t>Commitments and Contingencies (Note 12)</t>
  </si>
  <si>
    <t>Stockholders' Deficit / Members' Deficit</t>
  </si>
  <si>
    <t>Members' deficit</t>
  </si>
  <si>
    <t>Preferred stock, $0.00001 par value - 5,000,000 shares authorized; none issued and outstanding as of March 31, 2021</t>
  </si>
  <si>
    <t>Class A common stock, $0.00001 par value - 1,000,000,000 shares authorized; 93,539,692 shares issued and outstanding as of March 31, 2021</t>
  </si>
  <si>
    <t>Class B common stock, $0.00001 par value - 195,000,000 shares authorized; 73,066,607 shares issued and outstanding as of March 31, 2021</t>
  </si>
  <si>
    <t>Additional paid-in capital</t>
  </si>
  <si>
    <t>Accumulated deficit</t>
  </si>
  <si>
    <t>Total stockholders' deficit attributable to Shoals Technologies Group, Inc. / members' deficit</t>
  </si>
  <si>
    <t>Total stockholders' deficit / members' deficit</t>
  </si>
  <si>
    <t>Total Liabilities and Stockholders' Deficit / Members' Deficit</t>
  </si>
  <si>
    <t>June 30, 2021</t>
  </si>
  <si>
    <t>Preferred stock, $0.00001 par value - 5,000,000 shares authorized; none issued and outstanding as of June 30, 2021</t>
  </si>
  <si>
    <t>Class A common stock, $0.00001 par value - 1,000,000,000 shares authorized; 93,545,564 shares issued and outstanding as of June 30, 2021</t>
  </si>
  <si>
    <t>Class B common stock, $0.00001 par value - 195,000,000 shares authorized; 73,066,607 shares issued and outstanding as of June 30, 2021</t>
  </si>
  <si>
    <t>September 30, 2021</t>
  </si>
  <si>
    <t>Commitments and Contingencies (Note 13)</t>
  </si>
  <si>
    <t>Preferred stock, $0.00001 par value - 5,000,000 shares authorized; none issued and outstanding as of September 30, 2021</t>
  </si>
  <si>
    <t>Class A common stock, $0.00001 par value - 1,000,000,000 shares authorized; 104,179,939 shares issued and outstanding as of September 30, 2021</t>
  </si>
  <si>
    <t>Class B common stock, $0.00001 par value - 195,000,000 shares authorized; 62,664,521 shares issued and outstanding as of September 30, 2021</t>
  </si>
  <si>
    <t>Total stockholders' equity attributable to Shoals Technologies Group, Inc. / members' deficit</t>
  </si>
  <si>
    <t>Payable pursuant to the tax receivable agreement</t>
  </si>
  <si>
    <t>Other long-term liabilities</t>
  </si>
  <si>
    <t>Preferred stock, $0.00001 par value - 5,000,000 shares authorized; none issued and outstanding as of December 31, 2021</t>
  </si>
  <si>
    <t>Class A common stock, $0.00001 par value - 1,000,000,000 shares authorized; 112,049,981 shares issued and outstanding as of December 31, 2021</t>
  </si>
  <si>
    <t>Class B common stock, $0.00001 par value - 195,000,000 shares authorized; 54,794,479 shares issued and outstanding as of December 31, 2021</t>
  </si>
  <si>
    <t>Total stockholders' equity attributable to Shoals Technologies Group, Inc. / members' equity (deficit)</t>
  </si>
  <si>
    <t>March 31, 2022</t>
  </si>
  <si>
    <t>December 31, 2021</t>
  </si>
  <si>
    <t>Liabilities and Stockholders' Deficit</t>
  </si>
  <si>
    <t>Current portion of payable pursuant to the tax receivable agreement</t>
  </si>
  <si>
    <t>Payable pursuant to the tax receivable agreement, less current portion</t>
  </si>
  <si>
    <t>Commitments and Contingencies (Note 14)</t>
  </si>
  <si>
    <t>Stockholders' Deficit</t>
  </si>
  <si>
    <t>Preferred stock, $0.00001 par value - 5,000,000 shares authorized; none issued and outstanding as of March 31, 2022 and December 31, 2021</t>
  </si>
  <si>
    <t>Class A common stock, $0.00001 par value - 1,000,000,000 shares authorized; 112,358,397 and 112,049,981 shares issued and outstanding as of March 31, 2022 and December 31, 2021, respectively</t>
  </si>
  <si>
    <t>Class B common stock, $0.00001 par value - 195,000,000 shares authorized; 54,794,479 shares issued and outstanding as of March 31, 2022 and December 31, 2021</t>
  </si>
  <si>
    <t>Total stockholders' equity attributable to Shoals Technologies Group, Inc.</t>
  </si>
  <si>
    <t>Total stockholders' deficit</t>
  </si>
  <si>
    <t>Total Liabilities and Stockholders' Deficit</t>
  </si>
  <si>
    <t>June 30, 2022</t>
  </si>
  <si>
    <t>Liabilities and Stockholders' Equity (Deficit)</t>
  </si>
  <si>
    <t>Accrued expenses and other</t>
  </si>
  <si>
    <t>Commitments and Contingencies (Note 15)</t>
  </si>
  <si>
    <t>Stockholders' Equity (Deficit)</t>
  </si>
  <si>
    <t>Preferred stock, $0.00001 par value - 5,000,000 shares authorized; none issued and outstanding as of June 30, 2022 and December 31, 2021</t>
  </si>
  <si>
    <t>Class A common stock, $0.00001 par value - 1,000,000,000 shares authorized; 112,667,006 and 112,049,981 shares issued and outstanding as of June 30, 2022 and December 31, 2021, respectively</t>
  </si>
  <si>
    <t>Class B common stock, $0.00001 par value - 195,000,000 shares authorized; 54,534,591 and 54,794,479 shares issued and outstanding as of June 30, 2022 and December 31, 2021, respectively</t>
  </si>
  <si>
    <t>Total stockholders' equity (deficit)</t>
  </si>
  <si>
    <t>Total Liabilities and Stockholders' Equity (Deficit)</t>
  </si>
  <si>
    <t>Year Ended December 31,</t>
  </si>
  <si>
    <t>Cash Flows from Operating Activities</t>
  </si>
  <si>
    <t>Net income</t>
  </si>
  <si>
    <t>Adjustments to reconcile net income to net cash provided by operating activities:</t>
  </si>
  <si>
    <t>Amortization of deferred finance costs</t>
  </si>
  <si>
    <t>Depreciation and amortization</t>
  </si>
  <si>
    <t>Equity-based compensation</t>
  </si>
  <si>
    <t>Provision for slow-moving inventory</t>
  </si>
  <si>
    <t>Changes in assets and liabilities:</t>
  </si>
  <si>
    <t>Accounts receivable</t>
  </si>
  <si>
    <t>Inventory</t>
  </si>
  <si>
    <t>Net Cash Provided by Operating Activities</t>
  </si>
  <si>
    <t>Cash Flows Used In Investing Activities</t>
  </si>
  <si>
    <t>Purchases of property, plant and equipment</t>
  </si>
  <si>
    <t>Net Cash Used in Investing Activities</t>
  </si>
  <si>
    <t>Cash Flows from Financing Activities</t>
  </si>
  <si>
    <t>Member distributions</t>
  </si>
  <si>
    <t>Proceeds from term loan facility</t>
  </si>
  <si>
    <t>Debt discount and financing costs</t>
  </si>
  <si>
    <t>Deferred offering costs</t>
  </si>
  <si>
    <t>Proceeds from revolving credit facility</t>
  </si>
  <si>
    <t>Proceeds from delayed draw term loan facility</t>
  </si>
  <si>
    <t>Payments on delayed draw term loan facility</t>
  </si>
  <si>
    <t>Payments on senior debt - term loan</t>
  </si>
  <si>
    <t>Payments on senior debt - revolving line of credit</t>
  </si>
  <si>
    <t>Proceeds from senior debt - revolving line of credit</t>
  </si>
  <si>
    <t>Repayment of related party note payable</t>
  </si>
  <si>
    <t>Net Cash Used in Financing Activities</t>
  </si>
  <si>
    <t>Net Increase in Cash and Cash Equivalents</t>
  </si>
  <si>
    <t>Cash and Cash Equivalents-Beginning of Year</t>
  </si>
  <si>
    <t>Cash and Cash Equivalents-End of Year</t>
  </si>
  <si>
    <t>Supplemental Cash Flows Information:</t>
  </si>
  <si>
    <t>Cash paid for interest</t>
  </si>
  <si>
    <t>Three Months Ended March 31,</t>
  </si>
  <si>
    <t>Net income (loss)</t>
  </si>
  <si>
    <t>Adjustments to reconcile net income (loss) to net cash provided by (used in) operating activities:</t>
  </si>
  <si>
    <t>Amortization/write off of deferred financing costs</t>
  </si>
  <si>
    <t>Deferred taxes</t>
  </si>
  <si>
    <t>Gain on sale of assets</t>
  </si>
  <si>
    <t>Net Cash Provided by (Used in) Operating Activities</t>
  </si>
  <si>
    <t>Employee withholding taxes related to net settled equity awards</t>
  </si>
  <si>
    <t>Deferred financing costs</t>
  </si>
  <si>
    <t>Payment on term loan facility</t>
  </si>
  <si>
    <t>Proceeds from issuance of Class A common stock sold in an IPO, net of underwriting discounts and commissions</t>
  </si>
  <si>
    <t>Net Cash Provided By Financing Activities</t>
  </si>
  <si>
    <t>Net Increase (Decrease) in Cash and Cash Equivalents</t>
  </si>
  <si>
    <t>Cash and Cash Equivalents-Beginning of Period</t>
  </si>
  <si>
    <t>Cash and Cash Equivalents-End of Period</t>
  </si>
  <si>
    <t>Six Months Ended June 30,</t>
  </si>
  <si>
    <t>Adjustments to reconcile net income to net cash provided by (used in) operating activities:</t>
  </si>
  <si>
    <t>Tax receivable agreement liability adjustment</t>
  </si>
  <si>
    <t>Member / non-controlling interest distributions</t>
  </si>
  <si>
    <t>Payments on term loan facility</t>
  </si>
  <si>
    <t>Repayments of revolving credit facility</t>
  </si>
  <si>
    <t>Net Cash Provided by (Used in) Financing Activities</t>
  </si>
  <si>
    <t>Nine Months Ended September 30,</t>
  </si>
  <si>
    <t>Changes in assets and liabilities, net of business acquisition:</t>
  </si>
  <si>
    <t>Acquisition of a business, net of cash acquired</t>
  </si>
  <si>
    <t>Proceeds from issuance of Class A common stock in follow-on offering, net of underwriting discounts and commissions</t>
  </si>
  <si>
    <t>Purchase of LLC Interests with proceeds from follow-on offering</t>
  </si>
  <si>
    <t>Payment of debt acquired in acquisition</t>
  </si>
  <si>
    <t>Payable pursuant to the TRA adjustment</t>
  </si>
  <si>
    <t>Proceeds from issuance of Class A common stock sold in an IPO</t>
  </si>
  <si>
    <t>Purchase of LLC Interests with proceeds from IPO</t>
  </si>
  <si>
    <t>Payment of debt assumed in acquisition</t>
  </si>
  <si>
    <t>Adjustments to reconcile net income (loss) to net cash used in operating activities:</t>
  </si>
  <si>
    <t>Net Cash Used in Operating Activities</t>
  </si>
  <si>
    <t>Distributions to non-controlling interest</t>
  </si>
  <si>
    <t>Net Increase (Decrease) in Cash, Cash Equivalents and Restricted Cash</t>
  </si>
  <si>
    <t>Cash, Cash Equivalents and Restricted Cash-Beginning of Period</t>
  </si>
  <si>
    <t>Cash, Cash Equivalents and Restricted Cash-End of Period</t>
  </si>
  <si>
    <t>Adjustments to reconcile net income to net cash used in operating activities:</t>
  </si>
  <si>
    <t>Provision for obsolete or slow-moving inventory</t>
  </si>
  <si>
    <t>Payable pursuant to the tax receivable agreement adjustment</t>
  </si>
  <si>
    <t>Net Increase in Cash, Cash Equivalents and Restricted Cash</t>
  </si>
  <si>
    <t>Assets:</t>
  </si>
  <si>
    <t>Current Assets:</t>
  </si>
  <si>
    <t>Cash and Cash Equivalents</t>
  </si>
  <si>
    <t>Accounts Receivable, Net</t>
  </si>
  <si>
    <t>Unbilled Receivables, Net</t>
  </si>
  <si>
    <t>Inventory, Net</t>
  </si>
  <si>
    <t>Other Current Assets</t>
  </si>
  <si>
    <t>Property, Plant and Equipment, Net</t>
  </si>
  <si>
    <t>Intangible Assets, Net</t>
  </si>
  <si>
    <t>Deferred Tax Asset</t>
  </si>
  <si>
    <t>Liabilities &amp; Equity:</t>
  </si>
  <si>
    <t>Current Liabilities:</t>
  </si>
  <si>
    <t>Accounts Payable</t>
  </si>
  <si>
    <t>Accrued Expenses</t>
  </si>
  <si>
    <t>Long-Term Debt - Current Portion</t>
  </si>
  <si>
    <t>Revolving Line of Credit</t>
  </si>
  <si>
    <t>Long-Term Debt, Less Current Portion</t>
  </si>
  <si>
    <t>$100.0M Revolver</t>
  </si>
  <si>
    <t>Term Loan</t>
  </si>
  <si>
    <t>TRA Liability</t>
  </si>
  <si>
    <t>Equity:</t>
  </si>
  <si>
    <t>Total Equity</t>
  </si>
  <si>
    <t>Total Liabilities &amp; Equity</t>
  </si>
  <si>
    <t>Cash Flow From Operating Activities:</t>
  </si>
  <si>
    <t>Change in Net Working Capital:</t>
  </si>
  <si>
    <t>Accounts Receivable</t>
  </si>
  <si>
    <t>Unbilled Receivables</t>
  </si>
  <si>
    <t>Cash Flow From Operating Activities</t>
  </si>
  <si>
    <t>Cash Flow From Investing Activities:</t>
  </si>
  <si>
    <t>Purchases of PP&amp;E</t>
  </si>
  <si>
    <t>Cash Flow From Investing Activities</t>
  </si>
  <si>
    <t>Cash Flow From Financing Activities:</t>
  </si>
  <si>
    <t>Cash Flow From Financing Activities</t>
  </si>
  <si>
    <t>Net Change in Cash</t>
  </si>
  <si>
    <t>Beginning Cash</t>
  </si>
  <si>
    <t>Ending Cash</t>
  </si>
  <si>
    <t>Other Assets</t>
  </si>
  <si>
    <t>Check</t>
  </si>
  <si>
    <t>Non-Controlling Interest</t>
  </si>
  <si>
    <t>Other Stockholders Equity</t>
  </si>
  <si>
    <t>Paid-in Capital</t>
  </si>
  <si>
    <t>Other Long-term Liabilities</t>
  </si>
  <si>
    <t>Payable pursuant to TRA</t>
  </si>
  <si>
    <t>Plus: Amortization of Deferred Financing Costs</t>
  </si>
  <si>
    <t>Net Working Capital Schedule</t>
  </si>
  <si>
    <t>% of Sales</t>
  </si>
  <si>
    <t>Net Working Capital</t>
  </si>
  <si>
    <t>Change in Net Working Capital</t>
  </si>
  <si>
    <t>AR Days</t>
  </si>
  <si>
    <t>Memo: Revenue</t>
  </si>
  <si>
    <t>Memo: Cost of Revenue</t>
  </si>
  <si>
    <t>Unbilled Receivables Days</t>
  </si>
  <si>
    <t>Inventory Days</t>
  </si>
  <si>
    <t>AP Days</t>
  </si>
  <si>
    <t>% of Cost of Revenue</t>
  </si>
  <si>
    <t>Memo: Days</t>
  </si>
  <si>
    <t>Cost of revenue</t>
  </si>
  <si>
    <t>Gross profit</t>
  </si>
  <si>
    <t>Operating Expenses</t>
  </si>
  <si>
    <t>General and administrative expenses</t>
  </si>
  <si>
    <t>Interest expense, net</t>
  </si>
  <si>
    <t>Income (loss) before income taxes</t>
  </si>
  <si>
    <t>Income tax benefit</t>
  </si>
  <si>
    <t>Less: net loss attributable to non-controlling interests</t>
  </si>
  <si>
    <t>Net income (loss) attributable to Shoals Technologies Group, Inc.</t>
  </si>
  <si>
    <t>Period from January 27, 2021 to March 31, 2021</t>
  </si>
  <si>
    <t>Earnings per share of Class A common stock:</t>
  </si>
  <si>
    <t>Basic</t>
  </si>
  <si>
    <t>Diluted</t>
  </si>
  <si>
    <t>Weighted average shares of Class A common stock outstanding:</t>
  </si>
  <si>
    <t>Acquisition of Business, net of cash acquired</t>
  </si>
  <si>
    <t>Three Months Ended June 30,</t>
  </si>
  <si>
    <t>Less: net income (loss) attributable to non-controlling interests</t>
  </si>
  <si>
    <t>Net income attributable to Shoals Technologies Group, Inc.</t>
  </si>
  <si>
    <t>Three Months Ended June 30, 2021</t>
  </si>
  <si>
    <t>Period from January 27, 2021 to June 30, 2021</t>
  </si>
  <si>
    <t>Three Months Ended September 30,</t>
  </si>
  <si>
    <t>Income before income taxes</t>
  </si>
  <si>
    <t>Less: net income attributable to non-controlling interests</t>
  </si>
  <si>
    <t>Three Months Ended September 30, 2021</t>
  </si>
  <si>
    <t>Period from January 27, 2021 to September 30, 2021</t>
  </si>
  <si>
    <t>Income tax (expense) benefit</t>
  </si>
  <si>
    <t>Three Months Ended March 31, 2022</t>
  </si>
  <si>
    <t>Earnings (loss) per share of Class A common stock:</t>
  </si>
  <si>
    <t>Income tax benefit (expense)</t>
  </si>
  <si>
    <t>Six Months Ended June 30, 2022</t>
  </si>
  <si>
    <t>Net Debt Financing Activity</t>
  </si>
  <si>
    <t>6 months ended</t>
  </si>
  <si>
    <t>3 months ended</t>
  </si>
  <si>
    <t>Net Proceeds from Equity Offering</t>
  </si>
  <si>
    <t xml:space="preserve">All other </t>
  </si>
  <si>
    <t>Net Cash from financing</t>
  </si>
  <si>
    <t>Net change in cash</t>
  </si>
  <si>
    <t>12 Months</t>
  </si>
  <si>
    <t>Income tax expense</t>
  </si>
  <si>
    <t>Period from January 27, 2021 to December 31, 2021</t>
  </si>
  <si>
    <t>Loss per share of Class A common stock:</t>
  </si>
  <si>
    <t>Restricted cash included in other current assets</t>
  </si>
  <si>
    <t>Land</t>
  </si>
  <si>
    <t>Buildings and Land improvements</t>
  </si>
  <si>
    <t>Machinery and equipment</t>
  </si>
  <si>
    <t>Furniture and fixtures</t>
  </si>
  <si>
    <t>Vehicles</t>
  </si>
  <si>
    <t>Est. Useful Life</t>
  </si>
  <si>
    <t>N/A</t>
  </si>
  <si>
    <t>Jun. 30 '22</t>
  </si>
  <si>
    <t>Less: accum. Depreciation</t>
  </si>
  <si>
    <t>Net PP&amp;E</t>
  </si>
  <si>
    <t>Est. Life</t>
  </si>
  <si>
    <t>Weighted Life</t>
  </si>
  <si>
    <t>Fixed Asset</t>
  </si>
  <si>
    <t>Memo: CapEx</t>
  </si>
  <si>
    <t>CapEx Schedule</t>
  </si>
  <si>
    <t>Capital Expenditures</t>
  </si>
  <si>
    <t>Life</t>
  </si>
  <si>
    <t>1st Yr stub</t>
  </si>
  <si>
    <t>Total Depreciation of Fixed Assets</t>
  </si>
  <si>
    <t>Total Depreciation &amp; Amortization</t>
  </si>
  <si>
    <t>Debt Schedule</t>
  </si>
  <si>
    <t>Depreciation &amp; Amortization Schedule</t>
  </si>
  <si>
    <t>Beginning Balance</t>
  </si>
  <si>
    <t>Drawdown / Payback</t>
  </si>
  <si>
    <t>Ending Balance</t>
  </si>
  <si>
    <t>Cash Interest Expense</t>
  </si>
  <si>
    <t>Interest Rate</t>
  </si>
  <si>
    <t>Term Loan Facility</t>
  </si>
  <si>
    <t>Mandatory Amortization</t>
  </si>
  <si>
    <t>Excess Cash Sweep</t>
  </si>
  <si>
    <t>Revolving Credit Facility</t>
  </si>
  <si>
    <t>Debt:</t>
  </si>
  <si>
    <t>Size</t>
  </si>
  <si>
    <t>Drawn</t>
  </si>
  <si>
    <t>Rate</t>
  </si>
  <si>
    <t>SOFR Curve</t>
  </si>
  <si>
    <t>Cash Available after Revolver Paydown</t>
  </si>
  <si>
    <t>Total Interest Expense</t>
  </si>
  <si>
    <t>Leverage Metrics:</t>
  </si>
  <si>
    <t>Total Debt / Total Adj. EBITDA</t>
  </si>
  <si>
    <t>Net Debt / Total Adj. EBITDA</t>
  </si>
  <si>
    <t>Paydown? (1=Yes,0=No)</t>
  </si>
  <si>
    <t>x</t>
  </si>
  <si>
    <t>delete later</t>
  </si>
  <si>
    <t>ignore</t>
  </si>
  <si>
    <t>Total Debt</t>
  </si>
  <si>
    <t>RCF balance</t>
  </si>
  <si>
    <t>Ending Balance after Amortized Discount</t>
  </si>
  <si>
    <t>&lt;-- Add footnote for where this was found</t>
  </si>
  <si>
    <t>Less: Amortized Discount</t>
  </si>
  <si>
    <t>Less: Current portion</t>
  </si>
  <si>
    <t>Term Loan balance (after amortized discount, after current portion)</t>
  </si>
  <si>
    <t>CFO</t>
  </si>
  <si>
    <t>CFI</t>
  </si>
  <si>
    <t>Mandatory Amortization on TL</t>
  </si>
  <si>
    <t>Cash Floor</t>
  </si>
  <si>
    <t>Cash for Revolver</t>
  </si>
  <si>
    <t>Debt Paydown Waterfall</t>
  </si>
  <si>
    <t>688408-CN</t>
  </si>
  <si>
    <t>SOL-MCE</t>
  </si>
  <si>
    <t>ENPH</t>
  </si>
  <si>
    <t>Tranche A</t>
  </si>
  <si>
    <t>Tranche B</t>
  </si>
  <si>
    <t>Tranche C</t>
  </si>
  <si>
    <t>Tranche D</t>
  </si>
  <si>
    <t>Tranche E</t>
  </si>
  <si>
    <t>Less: ITM Convertible notes</t>
  </si>
  <si>
    <t>Convertibles</t>
  </si>
  <si>
    <t>Principal</t>
  </si>
  <si>
    <t>Shares</t>
  </si>
  <si>
    <t>Mar'25 0.25%</t>
  </si>
  <si>
    <t>Aug'23 4.0%</t>
  </si>
  <si>
    <t>SEDG</t>
  </si>
  <si>
    <t>GNRC</t>
  </si>
  <si>
    <t>SMTGY</t>
  </si>
  <si>
    <t>JKS</t>
  </si>
  <si>
    <t>FSLR</t>
  </si>
  <si>
    <t>MAXN</t>
  </si>
  <si>
    <t>APH</t>
  </si>
  <si>
    <t>TEL</t>
  </si>
  <si>
    <t>ETN</t>
  </si>
  <si>
    <t>Solar Trackers</t>
  </si>
  <si>
    <t>Arctech Solar</t>
  </si>
  <si>
    <t>Soltec Power</t>
  </si>
  <si>
    <t>Array Technologies</t>
  </si>
  <si>
    <t>Solar Inverters</t>
  </si>
  <si>
    <t>Enphase Energy</t>
  </si>
  <si>
    <t>SolarEdge Technologies</t>
  </si>
  <si>
    <t>Generac</t>
  </si>
  <si>
    <t>SMA Solar</t>
  </si>
  <si>
    <t>Solar Module Manufacturers</t>
  </si>
  <si>
    <t>JinkoSolar</t>
  </si>
  <si>
    <t>Canadian Solar</t>
  </si>
  <si>
    <t>First Solar</t>
  </si>
  <si>
    <t>Maxeon Solar</t>
  </si>
  <si>
    <t>Interconnects / Industrial Tech Comps</t>
  </si>
  <si>
    <t>Amphenol</t>
  </si>
  <si>
    <t>TE Connectivity</t>
  </si>
  <si>
    <t>Eaton</t>
  </si>
  <si>
    <t>Shoals</t>
  </si>
  <si>
    <t>Shoals Technologies</t>
  </si>
  <si>
    <t>Company</t>
  </si>
  <si>
    <t>Price as of:</t>
  </si>
  <si>
    <t>FD Market Cap</t>
  </si>
  <si>
    <t>Enterprise Value</t>
  </si>
  <si>
    <t>Gross Margin</t>
  </si>
  <si>
    <t>CapEx</t>
  </si>
  <si>
    <t>EBITDA - CapEx</t>
  </si>
  <si>
    <t>EV / Revenue</t>
  </si>
  <si>
    <t>EV / EBITDA</t>
  </si>
  <si>
    <t>Levered Equity Beta</t>
  </si>
  <si>
    <t>Unlevered Equity Beta(4)</t>
  </si>
  <si>
    <t>Leverage Ratios</t>
  </si>
  <si>
    <t>Bloomberg Historical 
Adjusted Unlevered Equity Beta</t>
  </si>
  <si>
    <t>1 Year</t>
  </si>
  <si>
    <t>2 Years</t>
  </si>
  <si>
    <t>5 Years</t>
  </si>
  <si>
    <t>D / E</t>
  </si>
  <si>
    <t>D / (D + E)</t>
  </si>
  <si>
    <t>Marginal Tax Rate</t>
  </si>
  <si>
    <t>Mean</t>
  </si>
  <si>
    <t>Median</t>
  </si>
  <si>
    <t>Reference Range - Prospective Unlevered Equity Beta</t>
  </si>
  <si>
    <t>Target Debt / Equity Ratio</t>
  </si>
  <si>
    <t>Refernce Range - Prospective Levered Equity Beta</t>
  </si>
  <si>
    <t>Low</t>
  </si>
  <si>
    <t>High</t>
  </si>
  <si>
    <t>Shoals Marginal Tax rate</t>
  </si>
  <si>
    <t>Total Comp Set</t>
  </si>
  <si>
    <t>Illustrative WACC Calculation - Hyperdrive</t>
  </si>
  <si>
    <t>Prospective Cost of 
Equity and WACC</t>
  </si>
  <si>
    <t xml:space="preserve"> </t>
  </si>
  <si>
    <t>Multiply by:  Prospective Levered Equity Beta</t>
  </si>
  <si>
    <t>Corresponding Prospective Unlevered Equity Beta</t>
  </si>
  <si>
    <t>Adjusted Prospective US Equity Risk Premium</t>
  </si>
  <si>
    <t>Illustrative Prospective Cost of Equity</t>
  </si>
  <si>
    <t>Multiply by:  Prospective E/(D+E)</t>
  </si>
  <si>
    <t>Cost of Equity Portion</t>
  </si>
  <si>
    <t>Assumed Tax Rate</t>
  </si>
  <si>
    <t>After-Tax Cost of Debt</t>
  </si>
  <si>
    <t>Multiply by:  Prospective D/(D+E)</t>
  </si>
  <si>
    <t>Cost of Debt Portion</t>
  </si>
  <si>
    <t>Prospective WACC Range</t>
  </si>
  <si>
    <t>D/E</t>
  </si>
  <si>
    <t>D/(D+E)</t>
  </si>
  <si>
    <t>Memo:</t>
  </si>
  <si>
    <t>Stub period</t>
  </si>
  <si>
    <t>Assumptions</t>
  </si>
  <si>
    <t>Value Date</t>
  </si>
  <si>
    <t>Terminal Year</t>
  </si>
  <si>
    <t>Unlevered Free Cash Flow</t>
  </si>
  <si>
    <t>End</t>
  </si>
  <si>
    <t>WACC</t>
  </si>
  <si>
    <t>Midpoint WACC</t>
  </si>
  <si>
    <t>For DCF</t>
  </si>
  <si>
    <t>PGR</t>
  </si>
  <si>
    <t>Implied Terminal EBITDA Multiple Calculation</t>
  </si>
  <si>
    <t>Adjusted Terminal Valuation</t>
  </si>
  <si>
    <t>Implied Terminal EBITDA Multiple</t>
  </si>
  <si>
    <t>Current Price</t>
  </si>
  <si>
    <t xml:space="preserve">Implied Premium / (Discount) to Current </t>
  </si>
  <si>
    <t>Valuation Sensitivities</t>
  </si>
  <si>
    <t>Discount</t>
  </si>
  <si>
    <t>Implied Price per Share</t>
  </si>
  <si>
    <t>Implied Premium / (Discount) to Current Share Price</t>
  </si>
  <si>
    <t>Revenue Growth 2028E→2032E</t>
  </si>
  <si>
    <t>('28E→'32E)</t>
  </si>
  <si>
    <t>EBITDA Margin 2028E→2032E decline</t>
  </si>
  <si>
    <t>Margin Exp.</t>
  </si>
  <si>
    <t>PGR &amp; Terminal Value Sensitivities</t>
  </si>
  <si>
    <t>Revenue &amp; Margin Sensitivities</t>
  </si>
  <si>
    <t>CAGR</t>
  </si>
  <si>
    <t>'22→''25E</t>
  </si>
  <si>
    <t>'22→''30E</t>
  </si>
  <si>
    <t>Growth</t>
  </si>
  <si>
    <t>EBITDA Margin %</t>
  </si>
  <si>
    <t>Memo: Shares</t>
  </si>
  <si>
    <t>Broker Consensus</t>
  </si>
  <si>
    <t>Adj. Net Income</t>
  </si>
  <si>
    <t>NI %</t>
  </si>
  <si>
    <t>GAAP EPS</t>
  </si>
  <si>
    <t>Adj. EPS</t>
  </si>
  <si>
    <t>Adj. Net Income Schedule</t>
  </si>
  <si>
    <t>Net income attributable to Shoals</t>
  </si>
  <si>
    <t>Net income impact from pro forma conversion of Class B common stock to Class A common stock</t>
  </si>
  <si>
    <t>Adjustment to the provision for income tax</t>
  </si>
  <si>
    <t>Tax effected net income</t>
  </si>
  <si>
    <t>Amortization of intangibles</t>
  </si>
  <si>
    <t>Amortization of deferred financing costs</t>
  </si>
  <si>
    <t>Acquisition-related expenses</t>
  </si>
  <si>
    <t>COVID-19 expenses</t>
  </si>
  <si>
    <t>Non-recurring and other expenses</t>
  </si>
  <si>
    <t>Tax Impact of adjustments</t>
  </si>
  <si>
    <t>Adjusted Net Income</t>
  </si>
  <si>
    <t>Broker Adj. NI</t>
  </si>
  <si>
    <t>Adj. EBITDA</t>
  </si>
  <si>
    <t>Adj. EBITDA Margin %</t>
  </si>
  <si>
    <t>Delta</t>
  </si>
  <si>
    <t>'21→'25</t>
  </si>
  <si>
    <t>'21→''30E</t>
  </si>
  <si>
    <t>'21→''27E</t>
  </si>
  <si>
    <t>P&amp;L Forecast</t>
  </si>
  <si>
    <t>ES Forecast</t>
  </si>
  <si>
    <t>Less: Change in NWC</t>
  </si>
  <si>
    <t>Reference</t>
  </si>
  <si>
    <t>Order</t>
  </si>
  <si>
    <t>Valuation Benchmarking</t>
  </si>
  <si>
    <t>EV / CY22 EBITDA</t>
  </si>
  <si>
    <t>Multiple</t>
  </si>
  <si>
    <t>Ranked</t>
  </si>
  <si>
    <t>Revenue CAGR ''21A→'24E</t>
  </si>
  <si>
    <t>Avg. EBITDA Margin</t>
  </si>
  <si>
    <t>2021→2023E</t>
  </si>
  <si>
    <t>Arctech</t>
  </si>
  <si>
    <t>Array</t>
  </si>
  <si>
    <t>Soltec</t>
  </si>
  <si>
    <t>Enphase</t>
  </si>
  <si>
    <t>SMA</t>
  </si>
  <si>
    <t>SolarEdge</t>
  </si>
  <si>
    <t>Maxeon</t>
  </si>
  <si>
    <t>xxxx</t>
  </si>
  <si>
    <t>Less: Net income (loss) attributable to NCI</t>
  </si>
  <si>
    <t>Customer</t>
  </si>
  <si>
    <t>% of rev</t>
  </si>
  <si>
    <t>Broker</t>
  </si>
  <si>
    <t>Estimate Date</t>
  </si>
  <si>
    <t>Truist Securities</t>
  </si>
  <si>
    <t>17 Oct '22</t>
  </si>
  <si>
    <t>Piper Sandler Companies</t>
  </si>
  <si>
    <t>14 Oct '22</t>
  </si>
  <si>
    <t>Roth Capital Partners</t>
  </si>
  <si>
    <t>29 Sep '22</t>
  </si>
  <si>
    <t>Cowen &amp; Company</t>
  </si>
  <si>
    <t>15 Sep '22</t>
  </si>
  <si>
    <t>16 Aug '22</t>
  </si>
  <si>
    <t>Oppenheimer</t>
  </si>
  <si>
    <t>Consensus</t>
  </si>
  <si>
    <t>Broker Estimates</t>
  </si>
  <si>
    <t>Current</t>
  </si>
  <si>
    <t>'23 Shoals premium to Median</t>
  </si>
  <si>
    <t>Operational Benchmarking</t>
  </si>
  <si>
    <t>Revenue CAGR '21A → '24E</t>
  </si>
  <si>
    <t>'21-'24</t>
  </si>
  <si>
    <t>Avg. GM%</t>
  </si>
  <si>
    <t>'21→'24E</t>
  </si>
  <si>
    <t>Avg. GM% '21A → '24E</t>
  </si>
  <si>
    <t>Avg. EBITDA % '21A → '24E</t>
  </si>
  <si>
    <t>Avg. EBITDA Margin '21A→'24E</t>
  </si>
  <si>
    <t>SG&amp;A % of Sales</t>
  </si>
  <si>
    <t>SG&amp;A</t>
  </si>
  <si>
    <t>Industrial Tech Comps</t>
  </si>
  <si>
    <t>2024E</t>
  </si>
  <si>
    <r>
      <t xml:space="preserve">Prospective US Equity Risk Premium </t>
    </r>
    <r>
      <rPr>
        <b/>
        <vertAlign val="superscript"/>
        <sz val="11"/>
        <rFont val="Arial"/>
        <family val="2"/>
      </rPr>
      <t>(1)</t>
    </r>
  </si>
  <si>
    <r>
      <t xml:space="preserve">Add: Risk-Free Rate of Return (Rf) </t>
    </r>
    <r>
      <rPr>
        <vertAlign val="superscript"/>
        <sz val="11"/>
        <rFont val="Arial"/>
        <family val="2"/>
      </rPr>
      <t>(2)</t>
    </r>
    <r>
      <rPr>
        <sz val="11"/>
        <rFont val="Arial"/>
        <family val="2"/>
      </rPr>
      <t xml:space="preserve">  </t>
    </r>
  </si>
  <si>
    <r>
      <t xml:space="preserve">Assumed Cost of Debt (Kd) </t>
    </r>
    <r>
      <rPr>
        <b/>
        <vertAlign val="superscript"/>
        <sz val="11"/>
        <rFont val="Arial"/>
        <family val="2"/>
      </rPr>
      <t>(3)</t>
    </r>
  </si>
  <si>
    <t>Bloomberg Historical 
Adjusted Levered Equity Beta</t>
  </si>
  <si>
    <t>Market Value of Common Equity</t>
  </si>
  <si>
    <t>Total Debt + Pref Stock</t>
  </si>
  <si>
    <t>Wood Mack report Q2 2022</t>
  </si>
  <si>
    <t>Capacity GW installed</t>
  </si>
  <si>
    <t>Date</t>
  </si>
  <si>
    <t>Volume (thousands)</t>
  </si>
  <si>
    <t>A</t>
  </si>
  <si>
    <t>B</t>
  </si>
  <si>
    <t>D</t>
  </si>
  <si>
    <t>C</t>
  </si>
  <si>
    <t>E</t>
  </si>
  <si>
    <t>F</t>
  </si>
  <si>
    <t>Dec'21</t>
  </si>
  <si>
    <t>Mar'22</t>
  </si>
  <si>
    <t>Jun'22</t>
  </si>
  <si>
    <t>Sep'21</t>
  </si>
  <si>
    <t>Jun'21</t>
  </si>
  <si>
    <t>Mar'21</t>
  </si>
  <si>
    <t>Mar'20</t>
  </si>
  <si>
    <t>Jun'20</t>
  </si>
  <si>
    <t>Sep'20</t>
  </si>
  <si>
    <t>Top 3</t>
  </si>
  <si>
    <t>Dec'20</t>
  </si>
  <si>
    <t>U.S. solar industry sets records in 2020, on track to quadruple by 2030 | Wood Mackenzie</t>
  </si>
  <si>
    <t>Solar Market Insight Report 2021 Year in Review | SEIA</t>
  </si>
  <si>
    <t>Implied CAGR</t>
  </si>
  <si>
    <t>'21A</t>
  </si>
  <si>
    <t>'30E</t>
  </si>
  <si>
    <t>US Market (MW)</t>
  </si>
  <si>
    <t>Revenue Build</t>
  </si>
  <si>
    <t>US Solar Revenue</t>
  </si>
  <si>
    <t>RoW Solar Revenue</t>
  </si>
  <si>
    <t>Storage Revenue</t>
  </si>
  <si>
    <t>EV Revenue</t>
  </si>
  <si>
    <t>% Mix</t>
  </si>
  <si>
    <t>System Solution</t>
  </si>
  <si>
    <t>Components</t>
  </si>
  <si>
    <t>Total Solar Revenue</t>
  </si>
  <si>
    <t>Total Non-Storage Revenue</t>
  </si>
  <si>
    <t>GW Storage Capacity / GW Solar</t>
  </si>
  <si>
    <t>US Storage Market (GW)</t>
  </si>
  <si>
    <t>US Storage (MW)</t>
  </si>
  <si>
    <t>Solar EBOS TAM</t>
  </si>
  <si>
    <t>Storage EBOS TAM</t>
  </si>
  <si>
    <t>Shoals Implied Market Share %</t>
  </si>
  <si>
    <t>Addressable EV Chargers (thousands)</t>
  </si>
  <si>
    <t>Chargers Added</t>
  </si>
  <si>
    <t>US EV Charger Addressable Market</t>
  </si>
  <si>
    <t>Utility Solar - US Market (GW)</t>
  </si>
  <si>
    <t>Market Share Builds</t>
  </si>
  <si>
    <t>Memo: US Solar NR - Shoals</t>
  </si>
  <si>
    <t>Memo: US Storage NR - Shoals</t>
  </si>
  <si>
    <t>Spend per Chargepoint ($k)</t>
  </si>
  <si>
    <t>EBOS Spend Storage $ Price / W</t>
  </si>
  <si>
    <t>EBOS Solar $ Price/W</t>
  </si>
  <si>
    <t>Memo: US EV NR - Shoals</t>
  </si>
  <si>
    <t>Mix Breakdown</t>
  </si>
  <si>
    <t>US Solar</t>
  </si>
  <si>
    <t>RoW Solar</t>
  </si>
  <si>
    <t>Storage</t>
  </si>
  <si>
    <t>EV</t>
  </si>
  <si>
    <t>Total Solar</t>
  </si>
  <si>
    <t>US Solar TAM</t>
  </si>
  <si>
    <t>2021A</t>
  </si>
  <si>
    <t>2025E</t>
  </si>
  <si>
    <t>2030E</t>
  </si>
  <si>
    <t>Shoals Revenue</t>
  </si>
  <si>
    <t>Implied US Solar MS%</t>
  </si>
  <si>
    <t>Implied Storage MS%</t>
  </si>
  <si>
    <t>Implied EV MS%</t>
  </si>
  <si>
    <t>US EV TAM</t>
  </si>
  <si>
    <t>US Battery Storage TAM</t>
  </si>
  <si>
    <t>Battery Storage Addressable Market</t>
  </si>
  <si>
    <t>US Solar Addressable Market</t>
  </si>
  <si>
    <t>EV Addressable Market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</si>
</sst>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0.0"/>
    <numFmt numFmtId="165" formatCode="#,##0.0&quot;x&quot;"/>
    <numFmt numFmtId="166" formatCode="0.0%"/>
    <numFmt numFmtId="167" formatCode="#,##0.0"/>
    <numFmt numFmtId="168" formatCode="_(* #,##0.0_);_(* \(#,##0.0\);_(* &quot;-&quot;??_);_(@_)"/>
    <numFmt numFmtId="169" formatCode="[$-409]mmm\-yy;@"/>
    <numFmt numFmtId="170" formatCode="&quot;$&quot;#,##0.0_);[Red]\(&quot;$&quot;#,##0.0\)"/>
    <numFmt numFmtId="171" formatCode="_(* #,##0.000_);_(* \(#,##0.000\);_(* &quot;-&quot;??_);_(@_)"/>
    <numFmt numFmtId="172" formatCode="_(* #,##0.0000_);_(* \(#,##0.0000\);_(* &quot;-&quot;??_);_(@_)"/>
    <numFmt numFmtId="173" formatCode="_(0_);_(\(0\);_(&quot;-&quot;_);@_)"/>
    <numFmt numFmtId="174" formatCode="_(\$* #,##0_);_(\$* \(#,##0\);_(\$* &quot;-&quot;_);_(@_)"/>
    <numFmt numFmtId="175" formatCode="_(#,##0_);_(\(#,##0\);_(&quot;-&quot;_);_(@_)"/>
    <numFmt numFmtId="176" formatCode="_(\$* #,##0.00_);_(\$* \(#,##0.00\);_(\$* &quot;-&quot;_);_(@_)"/>
    <numFmt numFmtId="177" formatCode="_(* #,##0.0_);_(* \(#,##0.0\);_(* &quot;-&quot;?_);_(@_)"/>
    <numFmt numFmtId="178" formatCode="&quot;S+&quot;0"/>
    <numFmt numFmtId="179" formatCode="0.0\x"/>
    <numFmt numFmtId="180" formatCode="&quot;$&quot;#,##0.000_);[Red]\(&quot;$&quot;#,##0.000\)"/>
    <numFmt numFmtId="181" formatCode="_(* #,##0_);_(* \(#,##0\);_(* &quot;-&quot;??_);_(@_)"/>
    <numFmt numFmtId="182" formatCode="0&quot;A&quot;"/>
    <numFmt numFmtId="183" formatCode="0&quot;E&quot;"/>
    <numFmt numFmtId="184" formatCode="&quot;$&quot;#,##0.0"/>
    <numFmt numFmtId="185" formatCode="&quot;$&quot;#,##0.00"/>
    <numFmt numFmtId="186" formatCode="0\ &quot;BPS&quot;"/>
    <numFmt numFmtId="187" formatCode="&quot;$&quot;#,##0"/>
    <numFmt numFmtId="195" formatCode="&quot;$&quot;0.000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28"/>
      <color theme="1"/>
      <name val="Arial"/>
      <family val="2"/>
    </font>
    <font>
      <b/>
      <sz val="11"/>
      <color theme="1"/>
      <name val="Arial"/>
      <family val="2"/>
    </font>
    <font>
      <sz val="28"/>
      <color theme="1"/>
      <name val="Arial"/>
      <family val="2"/>
    </font>
    <font>
      <b/>
      <sz val="11"/>
      <color theme="0"/>
      <name val="Arial"/>
      <family val="2"/>
    </font>
    <font>
      <sz val="11"/>
      <color rgb="FF0000FF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1"/>
      <color theme="1"/>
      <name val="Arial"/>
      <family val="2"/>
    </font>
    <font>
      <i/>
      <sz val="11"/>
      <color rgb="FF0000FF"/>
      <name val="Arial"/>
      <family val="2"/>
    </font>
    <font>
      <b/>
      <sz val="28"/>
      <color rgb="FF0000FF"/>
      <name val="Arial"/>
      <family val="2"/>
    </font>
    <font>
      <b/>
      <sz val="28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u/>
      <sz val="11"/>
      <color rgb="FF0000FF"/>
      <name val="Calibri"/>
      <family val="2"/>
    </font>
    <font>
      <sz val="11"/>
      <name val="Arial"/>
      <family val="2"/>
    </font>
    <font>
      <i/>
      <sz val="11"/>
      <name val="Arial"/>
      <family val="2"/>
    </font>
    <font>
      <b/>
      <sz val="11"/>
      <name val="Arial"/>
      <family val="2"/>
    </font>
    <font>
      <sz val="11"/>
      <color rgb="FFFF0000"/>
      <name val="Calibri"/>
      <family val="2"/>
    </font>
    <font>
      <sz val="11"/>
      <color rgb="FF7030A0"/>
      <name val="Arial"/>
      <family val="2"/>
    </font>
    <font>
      <b/>
      <sz val="11"/>
      <color rgb="FF0000FF"/>
      <name val="Arial"/>
      <family val="2"/>
    </font>
    <font>
      <u/>
      <sz val="11"/>
      <color theme="1"/>
      <name val="Arial"/>
      <family val="2"/>
    </font>
    <font>
      <sz val="11"/>
      <color theme="0"/>
      <name val="Arial"/>
      <family val="2"/>
    </font>
    <font>
      <b/>
      <i/>
      <sz val="9"/>
      <color theme="0"/>
      <name val="Arial"/>
      <family val="2"/>
    </font>
    <font>
      <b/>
      <i/>
      <sz val="11"/>
      <color theme="1"/>
      <name val="Arial"/>
      <family val="2"/>
    </font>
    <font>
      <b/>
      <sz val="11"/>
      <color theme="9"/>
      <name val="Arial"/>
      <family val="2"/>
    </font>
    <font>
      <b/>
      <i/>
      <sz val="11"/>
      <color rgb="FF0000FF"/>
      <name val="Arial"/>
      <family val="2"/>
    </font>
    <font>
      <sz val="11"/>
      <color theme="9"/>
      <name val="Arial"/>
      <family val="2"/>
    </font>
    <font>
      <b/>
      <u/>
      <sz val="11"/>
      <color theme="1"/>
      <name val="Arial"/>
      <family val="2"/>
    </font>
    <font>
      <b/>
      <i/>
      <sz val="11"/>
      <name val="Arial"/>
      <family val="2"/>
    </font>
    <font>
      <b/>
      <vertAlign val="superscript"/>
      <sz val="11"/>
      <name val="Arial"/>
      <family val="2"/>
    </font>
    <font>
      <vertAlign val="superscript"/>
      <sz val="11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u/>
      <sz val="11"/>
      <color theme="10"/>
      <name val="Arial"/>
      <family val="2"/>
    </font>
    <font>
      <b/>
      <sz val="11"/>
      <color rgb="FF7030A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14B8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0F3FA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/>
        <bgColor indexed="64"/>
      </patternFill>
    </fill>
  </fills>
  <borders count="4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/>
      <right style="hair">
        <color theme="0" tint="-0.34998626667073579"/>
      </right>
      <top/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/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hair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hair">
        <color theme="0" tint="-0.34998626667073579"/>
      </right>
      <top/>
      <bottom/>
      <diagonal/>
    </border>
    <border>
      <left style="thin">
        <color theme="0" tint="-0.34998626667073579"/>
      </left>
      <right style="hair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 style="thin">
        <color theme="0" tint="-0.34998626667073579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indexed="64"/>
      </right>
      <top/>
      <bottom/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4" fillId="0" borderId="0" applyNumberFormat="0" applyFill="0" applyBorder="0" applyAlignment="0" applyProtection="0"/>
  </cellStyleXfs>
  <cellXfs count="577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6" fillId="2" borderId="0" xfId="0" applyFont="1" applyFill="1"/>
    <xf numFmtId="0" fontId="2" fillId="0" borderId="1" xfId="0" applyFont="1" applyBorder="1"/>
    <xf numFmtId="2" fontId="2" fillId="0" borderId="0" xfId="0" applyNumberFormat="1" applyFont="1"/>
    <xf numFmtId="0" fontId="2" fillId="3" borderId="2" xfId="0" applyFont="1" applyFill="1" applyBorder="1"/>
    <xf numFmtId="0" fontId="2" fillId="3" borderId="3" xfId="0" applyFont="1" applyFill="1" applyBorder="1"/>
    <xf numFmtId="0" fontId="4" fillId="3" borderId="3" xfId="0" applyFont="1" applyFill="1" applyBorder="1"/>
    <xf numFmtId="0" fontId="4" fillId="3" borderId="4" xfId="0" applyFont="1" applyFill="1" applyBorder="1"/>
    <xf numFmtId="0" fontId="2" fillId="0" borderId="5" xfId="0" applyFont="1" applyBorder="1"/>
    <xf numFmtId="0" fontId="4" fillId="0" borderId="1" xfId="0" applyFont="1" applyBorder="1"/>
    <xf numFmtId="0" fontId="2" fillId="0" borderId="6" xfId="0" applyFont="1" applyBorder="1"/>
    <xf numFmtId="9" fontId="7" fillId="0" borderId="6" xfId="1" applyFont="1" applyBorder="1"/>
    <xf numFmtId="2" fontId="7" fillId="0" borderId="0" xfId="0" applyNumberFormat="1" applyFont="1"/>
    <xf numFmtId="0" fontId="7" fillId="0" borderId="0" xfId="0" applyFont="1"/>
    <xf numFmtId="8" fontId="2" fillId="0" borderId="0" xfId="0" applyNumberFormat="1" applyFont="1"/>
    <xf numFmtId="8" fontId="7" fillId="0" borderId="0" xfId="0" applyNumberFormat="1" applyFont="1"/>
    <xf numFmtId="0" fontId="2" fillId="0" borderId="0" xfId="0" applyFont="1" applyBorder="1"/>
    <xf numFmtId="0" fontId="4" fillId="0" borderId="0" xfId="0" applyFont="1" applyBorder="1"/>
    <xf numFmtId="164" fontId="2" fillId="0" borderId="0" xfId="0" applyNumberFormat="1" applyFont="1"/>
    <xf numFmtId="164" fontId="2" fillId="0" borderId="5" xfId="0" applyNumberFormat="1" applyFont="1" applyBorder="1"/>
    <xf numFmtId="164" fontId="2" fillId="0" borderId="0" xfId="0" applyNumberFormat="1" applyFont="1" applyBorder="1"/>
    <xf numFmtId="2" fontId="4" fillId="0" borderId="1" xfId="0" applyNumberFormat="1" applyFont="1" applyBorder="1"/>
    <xf numFmtId="6" fontId="4" fillId="0" borderId="1" xfId="0" applyNumberFormat="1" applyFont="1" applyBorder="1"/>
    <xf numFmtId="0" fontId="2" fillId="3" borderId="1" xfId="0" applyFont="1" applyFill="1" applyBorder="1"/>
    <xf numFmtId="0" fontId="4" fillId="3" borderId="1" xfId="0" applyFont="1" applyFill="1" applyBorder="1"/>
    <xf numFmtId="9" fontId="10" fillId="0" borderId="0" xfId="1" applyFont="1"/>
    <xf numFmtId="0" fontId="2" fillId="4" borderId="0" xfId="0" applyFont="1" applyFill="1"/>
    <xf numFmtId="9" fontId="7" fillId="0" borderId="0" xfId="0" applyNumberFormat="1" applyFont="1"/>
    <xf numFmtId="9" fontId="2" fillId="0" borderId="0" xfId="0" applyNumberFormat="1" applyFont="1"/>
    <xf numFmtId="165" fontId="7" fillId="0" borderId="0" xfId="0" applyNumberFormat="1" applyFont="1"/>
    <xf numFmtId="9" fontId="11" fillId="0" borderId="0" xfId="0" applyNumberFormat="1" applyFont="1"/>
    <xf numFmtId="166" fontId="2" fillId="0" borderId="0" xfId="0" applyNumberFormat="1" applyFont="1"/>
    <xf numFmtId="167" fontId="2" fillId="0" borderId="0" xfId="0" applyNumberFormat="1" applyFont="1"/>
    <xf numFmtId="0" fontId="10" fillId="0" borderId="0" xfId="0" applyFont="1"/>
    <xf numFmtId="0" fontId="4" fillId="3" borderId="7" xfId="0" applyFont="1" applyFill="1" applyBorder="1"/>
    <xf numFmtId="0" fontId="4" fillId="3" borderId="8" xfId="0" applyFont="1" applyFill="1" applyBorder="1"/>
    <xf numFmtId="0" fontId="4" fillId="3" borderId="9" xfId="0" applyFont="1" applyFill="1" applyBorder="1"/>
    <xf numFmtId="0" fontId="2" fillId="3" borderId="7" xfId="0" applyFont="1" applyFill="1" applyBorder="1"/>
    <xf numFmtId="0" fontId="2" fillId="3" borderId="8" xfId="0" applyFont="1" applyFill="1" applyBorder="1"/>
    <xf numFmtId="0" fontId="7" fillId="0" borderId="0" xfId="0" applyFont="1" applyAlignment="1">
      <alignment horizontal="right"/>
    </xf>
    <xf numFmtId="8" fontId="7" fillId="0" borderId="0" xfId="0" applyNumberFormat="1" applyFont="1" applyAlignment="1">
      <alignment horizontal="right"/>
    </xf>
    <xf numFmtId="2" fontId="7" fillId="0" borderId="0" xfId="0" applyNumberFormat="1" applyFont="1" applyAlignment="1">
      <alignment horizontal="right"/>
    </xf>
    <xf numFmtId="1" fontId="7" fillId="0" borderId="0" xfId="0" applyNumberFormat="1" applyFont="1"/>
    <xf numFmtId="164" fontId="7" fillId="0" borderId="0" xfId="0" applyNumberFormat="1" applyFont="1"/>
    <xf numFmtId="14" fontId="12" fillId="0" borderId="0" xfId="0" applyNumberFormat="1" applyFont="1" applyAlignment="1">
      <alignment horizontal="left"/>
    </xf>
    <xf numFmtId="14" fontId="13" fillId="0" borderId="0" xfId="0" applyNumberFormat="1" applyFont="1" applyAlignment="1">
      <alignment horizontal="left"/>
    </xf>
    <xf numFmtId="43" fontId="0" fillId="0" borderId="0" xfId="0" applyNumberFormat="1"/>
    <xf numFmtId="9" fontId="0" fillId="0" borderId="0" xfId="1" applyFont="1"/>
    <xf numFmtId="0" fontId="0" fillId="0" borderId="0" xfId="0" applyAlignment="1">
      <alignment horizontal="left"/>
    </xf>
    <xf numFmtId="173" fontId="14" fillId="0" borderId="0" xfId="0" applyNumberFormat="1" applyFont="1" applyAlignment="1">
      <alignment horizontal="centerContinuous"/>
    </xf>
    <xf numFmtId="173" fontId="14" fillId="0" borderId="0" xfId="0" applyNumberFormat="1" applyFont="1" applyAlignment="1">
      <alignment horizontal="right"/>
    </xf>
    <xf numFmtId="0" fontId="14" fillId="0" borderId="0" xfId="0" applyFont="1" applyAlignment="1">
      <alignment horizontal="left"/>
    </xf>
    <xf numFmtId="173" fontId="15" fillId="0" borderId="0" xfId="0" applyNumberFormat="1" applyFont="1" applyAlignment="1">
      <alignment horizontal="right"/>
    </xf>
    <xf numFmtId="174" fontId="15" fillId="0" borderId="0" xfId="0" applyNumberFormat="1" applyFont="1"/>
    <xf numFmtId="175" fontId="15" fillId="0" borderId="0" xfId="0" applyNumberFormat="1" applyFont="1"/>
    <xf numFmtId="0" fontId="16" fillId="0" borderId="0" xfId="0" applyFont="1"/>
    <xf numFmtId="174" fontId="0" fillId="0" borderId="0" xfId="0" applyNumberFormat="1"/>
    <xf numFmtId="176" fontId="15" fillId="0" borderId="0" xfId="0" applyNumberFormat="1" applyFont="1"/>
    <xf numFmtId="175" fontId="0" fillId="0" borderId="0" xfId="0" applyNumberFormat="1"/>
    <xf numFmtId="168" fontId="2" fillId="0" borderId="0" xfId="2" applyNumberFormat="1" applyFont="1"/>
    <xf numFmtId="168" fontId="17" fillId="0" borderId="0" xfId="2" applyNumberFormat="1" applyFont="1" applyFill="1"/>
    <xf numFmtId="9" fontId="18" fillId="0" borderId="0" xfId="1" applyFont="1"/>
    <xf numFmtId="9" fontId="18" fillId="0" borderId="0" xfId="0" applyNumberFormat="1" applyFont="1"/>
    <xf numFmtId="0" fontId="17" fillId="0" borderId="0" xfId="0" applyFont="1"/>
    <xf numFmtId="168" fontId="19" fillId="0" borderId="1" xfId="2" applyNumberFormat="1" applyFont="1" applyFill="1" applyBorder="1"/>
    <xf numFmtId="174" fontId="20" fillId="4" borderId="0" xfId="0" applyNumberFormat="1" applyFont="1" applyFill="1"/>
    <xf numFmtId="175" fontId="15" fillId="4" borderId="0" xfId="0" applyNumberFormat="1" applyFont="1" applyFill="1"/>
    <xf numFmtId="43" fontId="7" fillId="0" borderId="0" xfId="2" applyFont="1"/>
    <xf numFmtId="0" fontId="4" fillId="0" borderId="0" xfId="0" applyFont="1"/>
    <xf numFmtId="43" fontId="2" fillId="0" borderId="0" xfId="2" applyFont="1"/>
    <xf numFmtId="0" fontId="4" fillId="0" borderId="6" xfId="0" applyFont="1" applyBorder="1"/>
    <xf numFmtId="43" fontId="4" fillId="0" borderId="6" xfId="2" applyFont="1" applyBorder="1"/>
    <xf numFmtId="43" fontId="2" fillId="0" borderId="5" xfId="2" applyFont="1" applyBorder="1"/>
    <xf numFmtId="43" fontId="2" fillId="0" borderId="0" xfId="2" applyFont="1" applyBorder="1"/>
    <xf numFmtId="43" fontId="4" fillId="0" borderId="1" xfId="2" applyFont="1" applyBorder="1"/>
    <xf numFmtId="43" fontId="2" fillId="0" borderId="0" xfId="0" applyNumberFormat="1" applyFont="1"/>
    <xf numFmtId="168" fontId="7" fillId="0" borderId="0" xfId="2" applyNumberFormat="1" applyFont="1"/>
    <xf numFmtId="14" fontId="21" fillId="0" borderId="0" xfId="0" applyNumberFormat="1" applyFont="1"/>
    <xf numFmtId="0" fontId="2" fillId="3" borderId="0" xfId="0" applyFont="1" applyFill="1"/>
    <xf numFmtId="171" fontId="2" fillId="0" borderId="0" xfId="2" applyNumberFormat="1" applyFont="1"/>
    <xf numFmtId="10" fontId="2" fillId="0" borderId="0" xfId="0" applyNumberFormat="1" applyFont="1"/>
    <xf numFmtId="10" fontId="4" fillId="0" borderId="0" xfId="0" applyNumberFormat="1" applyFont="1"/>
    <xf numFmtId="9" fontId="2" fillId="0" borderId="0" xfId="1" applyFont="1"/>
    <xf numFmtId="0" fontId="4" fillId="3" borderId="39" xfId="0" applyFont="1" applyFill="1" applyBorder="1"/>
    <xf numFmtId="0" fontId="4" fillId="0" borderId="28" xfId="0" applyFont="1" applyBorder="1"/>
    <xf numFmtId="0" fontId="4" fillId="0" borderId="29" xfId="0" applyFont="1" applyBorder="1"/>
    <xf numFmtId="171" fontId="4" fillId="0" borderId="29" xfId="2" applyNumberFormat="1" applyFont="1" applyBorder="1"/>
    <xf numFmtId="168" fontId="4" fillId="0" borderId="29" xfId="2" applyNumberFormat="1" applyFont="1" applyBorder="1"/>
    <xf numFmtId="9" fontId="4" fillId="0" borderId="29" xfId="1" applyFont="1" applyBorder="1"/>
    <xf numFmtId="171" fontId="4" fillId="0" borderId="30" xfId="2" applyNumberFormat="1" applyFont="1" applyBorder="1"/>
    <xf numFmtId="0" fontId="4" fillId="0" borderId="31" xfId="0" applyFont="1" applyBorder="1"/>
    <xf numFmtId="0" fontId="4" fillId="0" borderId="32" xfId="0" applyFont="1" applyBorder="1"/>
    <xf numFmtId="171" fontId="4" fillId="0" borderId="32" xfId="2" applyNumberFormat="1" applyFont="1" applyBorder="1"/>
    <xf numFmtId="168" fontId="4" fillId="0" borderId="32" xfId="2" applyNumberFormat="1" applyFont="1" applyBorder="1"/>
    <xf numFmtId="9" fontId="4" fillId="0" borderId="32" xfId="1" applyFont="1" applyBorder="1"/>
    <xf numFmtId="171" fontId="4" fillId="0" borderId="33" xfId="2" applyNumberFormat="1" applyFont="1" applyBorder="1"/>
    <xf numFmtId="0" fontId="2" fillId="3" borderId="27" xfId="0" applyFont="1" applyFill="1" applyBorder="1"/>
    <xf numFmtId="0" fontId="2" fillId="3" borderId="5" xfId="0" applyFont="1" applyFill="1" applyBorder="1"/>
    <xf numFmtId="171" fontId="2" fillId="3" borderId="5" xfId="2" applyNumberFormat="1" applyFont="1" applyFill="1" applyBorder="1"/>
    <xf numFmtId="168" fontId="2" fillId="3" borderId="5" xfId="2" applyNumberFormat="1" applyFont="1" applyFill="1" applyBorder="1"/>
    <xf numFmtId="0" fontId="23" fillId="3" borderId="5" xfId="0" applyFont="1" applyFill="1" applyBorder="1" applyAlignment="1">
      <alignment horizontal="center"/>
    </xf>
    <xf numFmtId="0" fontId="23" fillId="3" borderId="34" xfId="0" applyFont="1" applyFill="1" applyBorder="1" applyAlignment="1">
      <alignment horizontal="center"/>
    </xf>
    <xf numFmtId="0" fontId="2" fillId="3" borderId="21" xfId="0" applyFont="1" applyFill="1" applyBorder="1"/>
    <xf numFmtId="0" fontId="2" fillId="3" borderId="0" xfId="0" applyFont="1" applyFill="1" applyBorder="1"/>
    <xf numFmtId="171" fontId="2" fillId="3" borderId="0" xfId="2" applyNumberFormat="1" applyFont="1" applyFill="1" applyBorder="1"/>
    <xf numFmtId="168" fontId="2" fillId="3" borderId="0" xfId="2" applyNumberFormat="1" applyFont="1" applyFill="1" applyBorder="1"/>
    <xf numFmtId="171" fontId="2" fillId="3" borderId="0" xfId="0" applyNumberFormat="1" applyFont="1" applyFill="1" applyBorder="1"/>
    <xf numFmtId="171" fontId="2" fillId="3" borderId="35" xfId="0" applyNumberFormat="1" applyFont="1" applyFill="1" applyBorder="1"/>
    <xf numFmtId="9" fontId="2" fillId="3" borderId="0" xfId="0" applyNumberFormat="1" applyFont="1" applyFill="1" applyBorder="1"/>
    <xf numFmtId="9" fontId="2" fillId="3" borderId="35" xfId="0" applyNumberFormat="1" applyFont="1" applyFill="1" applyBorder="1"/>
    <xf numFmtId="0" fontId="2" fillId="3" borderId="36" xfId="0" applyFont="1" applyFill="1" applyBorder="1"/>
    <xf numFmtId="0" fontId="2" fillId="3" borderId="6" xfId="0" applyFont="1" applyFill="1" applyBorder="1"/>
    <xf numFmtId="171" fontId="2" fillId="3" borderId="6" xfId="2" applyNumberFormat="1" applyFont="1" applyFill="1" applyBorder="1"/>
    <xf numFmtId="168" fontId="2" fillId="3" borderId="6" xfId="2" applyNumberFormat="1" applyFont="1" applyFill="1" applyBorder="1"/>
    <xf numFmtId="43" fontId="2" fillId="3" borderId="6" xfId="0" applyNumberFormat="1" applyFont="1" applyFill="1" applyBorder="1"/>
    <xf numFmtId="43" fontId="2" fillId="3" borderId="37" xfId="0" applyNumberFormat="1" applyFont="1" applyFill="1" applyBorder="1"/>
    <xf numFmtId="0" fontId="2" fillId="0" borderId="0" xfId="0" applyFont="1" applyFill="1" applyBorder="1"/>
    <xf numFmtId="171" fontId="2" fillId="0" borderId="0" xfId="2" applyNumberFormat="1" applyFont="1" applyFill="1" applyBorder="1"/>
    <xf numFmtId="168" fontId="2" fillId="0" borderId="0" xfId="2" applyNumberFormat="1" applyFont="1" applyFill="1" applyBorder="1"/>
    <xf numFmtId="43" fontId="2" fillId="0" borderId="0" xfId="0" applyNumberFormat="1" applyFont="1" applyFill="1" applyBorder="1"/>
    <xf numFmtId="0" fontId="2" fillId="0" borderId="0" xfId="0" applyFont="1" applyFill="1"/>
    <xf numFmtId="171" fontId="4" fillId="0" borderId="0" xfId="2" applyNumberFormat="1" applyFont="1" applyBorder="1"/>
    <xf numFmtId="168" fontId="4" fillId="0" borderId="0" xfId="2" applyNumberFormat="1" applyFont="1" applyBorder="1"/>
    <xf numFmtId="9" fontId="4" fillId="0" borderId="0" xfId="1" applyFont="1" applyBorder="1"/>
    <xf numFmtId="0" fontId="4" fillId="3" borderId="32" xfId="0" applyFont="1" applyFill="1" applyBorder="1" applyAlignment="1">
      <alignment horizontal="centerContinuous"/>
    </xf>
    <xf numFmtId="0" fontId="2" fillId="3" borderId="32" xfId="0" applyFont="1" applyFill="1" applyBorder="1" applyAlignment="1">
      <alignment horizontal="centerContinuous"/>
    </xf>
    <xf numFmtId="0" fontId="2" fillId="3" borderId="0" xfId="0" applyFont="1" applyFill="1" applyAlignment="1">
      <alignment horizontal="center"/>
    </xf>
    <xf numFmtId="0" fontId="6" fillId="10" borderId="0" xfId="0" applyFont="1" applyFill="1"/>
    <xf numFmtId="171" fontId="6" fillId="10" borderId="0" xfId="2" applyNumberFormat="1" applyFont="1" applyFill="1"/>
    <xf numFmtId="168" fontId="6" fillId="10" borderId="0" xfId="2" applyNumberFormat="1" applyFont="1" applyFill="1"/>
    <xf numFmtId="0" fontId="4" fillId="3" borderId="38" xfId="0" applyFont="1" applyFill="1" applyBorder="1" applyAlignment="1">
      <alignment horizontal="centerContinuous" vertical="center" wrapText="1"/>
    </xf>
    <xf numFmtId="0" fontId="4" fillId="3" borderId="38" xfId="0" applyFont="1" applyFill="1" applyBorder="1" applyAlignment="1">
      <alignment horizontal="centerContinuous" vertical="center"/>
    </xf>
    <xf numFmtId="0" fontId="4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/>
    </xf>
    <xf numFmtId="0" fontId="4" fillId="3" borderId="32" xfId="0" applyFont="1" applyFill="1" applyBorder="1" applyAlignment="1">
      <alignment horizontal="centerContinuous" vertical="center"/>
    </xf>
    <xf numFmtId="166" fontId="2" fillId="0" borderId="0" xfId="1" applyNumberFormat="1" applyFont="1"/>
    <xf numFmtId="0" fontId="2" fillId="0" borderId="39" xfId="0" applyFont="1" applyBorder="1"/>
    <xf numFmtId="9" fontId="7" fillId="0" borderId="40" xfId="0" applyNumberFormat="1" applyFont="1" applyBorder="1"/>
    <xf numFmtId="0" fontId="25" fillId="2" borderId="0" xfId="0" applyFont="1" applyFill="1"/>
    <xf numFmtId="0" fontId="6" fillId="2" borderId="0" xfId="0" applyNumberFormat="1" applyFont="1" applyFill="1" applyAlignment="1">
      <alignment horizontal="centerContinuous"/>
    </xf>
    <xf numFmtId="0" fontId="6" fillId="2" borderId="13" xfId="0" applyNumberFormat="1" applyFont="1" applyFill="1" applyBorder="1" applyAlignment="1">
      <alignment horizontal="centerContinuous"/>
    </xf>
    <xf numFmtId="0" fontId="4" fillId="7" borderId="11" xfId="0" applyFont="1" applyFill="1" applyBorder="1" applyAlignment="1">
      <alignment horizontal="right"/>
    </xf>
    <xf numFmtId="0" fontId="4" fillId="7" borderId="17" xfId="0" applyFont="1" applyFill="1" applyBorder="1" applyAlignment="1">
      <alignment horizontal="right"/>
    </xf>
    <xf numFmtId="0" fontId="4" fillId="7" borderId="14" xfId="0" applyFont="1" applyFill="1" applyBorder="1" applyAlignment="1">
      <alignment horizontal="right"/>
    </xf>
    <xf numFmtId="169" fontId="4" fillId="7" borderId="12" xfId="0" applyNumberFormat="1" applyFont="1" applyFill="1" applyBorder="1"/>
    <xf numFmtId="169" fontId="4" fillId="7" borderId="18" xfId="0" applyNumberFormat="1" applyFont="1" applyFill="1" applyBorder="1"/>
    <xf numFmtId="169" fontId="4" fillId="7" borderId="15" xfId="0" applyNumberFormat="1" applyFont="1" applyFill="1" applyBorder="1"/>
    <xf numFmtId="0" fontId="26" fillId="6" borderId="10" xfId="0" applyFont="1" applyFill="1" applyBorder="1" applyAlignment="1">
      <alignment horizontal="right"/>
    </xf>
    <xf numFmtId="0" fontId="26" fillId="6" borderId="19" xfId="0" applyFont="1" applyFill="1" applyBorder="1" applyAlignment="1">
      <alignment horizontal="right"/>
    </xf>
    <xf numFmtId="0" fontId="26" fillId="6" borderId="16" xfId="0" applyFont="1" applyFill="1" applyBorder="1" applyAlignment="1">
      <alignment horizontal="right"/>
    </xf>
    <xf numFmtId="0" fontId="2" fillId="0" borderId="13" xfId="0" applyFont="1" applyBorder="1"/>
    <xf numFmtId="170" fontId="4" fillId="5" borderId="0" xfId="0" applyNumberFormat="1" applyFont="1" applyFill="1"/>
    <xf numFmtId="170" fontId="4" fillId="0" borderId="0" xfId="0" applyNumberFormat="1" applyFont="1"/>
    <xf numFmtId="170" fontId="22" fillId="5" borderId="0" xfId="0" applyNumberFormat="1" applyFont="1" applyFill="1"/>
    <xf numFmtId="170" fontId="27" fillId="5" borderId="0" xfId="0" applyNumberFormat="1" applyFont="1" applyFill="1"/>
    <xf numFmtId="170" fontId="2" fillId="0" borderId="0" xfId="0" applyNumberFormat="1" applyFont="1"/>
    <xf numFmtId="0" fontId="26" fillId="5" borderId="0" xfId="0" applyFont="1" applyFill="1" applyAlignment="1">
      <alignment horizontal="left" indent="1"/>
    </xf>
    <xf numFmtId="0" fontId="26" fillId="0" borderId="0" xfId="0" applyFont="1"/>
    <xf numFmtId="0" fontId="26" fillId="5" borderId="0" xfId="0" applyFont="1" applyFill="1"/>
    <xf numFmtId="9" fontId="26" fillId="5" borderId="0" xfId="0" applyNumberFormat="1" applyFont="1" applyFill="1"/>
    <xf numFmtId="9" fontId="28" fillId="8" borderId="0" xfId="0" applyNumberFormat="1" applyFont="1" applyFill="1"/>
    <xf numFmtId="9" fontId="28" fillId="8" borderId="13" xfId="0" applyNumberFormat="1" applyFont="1" applyFill="1" applyBorder="1"/>
    <xf numFmtId="168" fontId="2" fillId="0" borderId="13" xfId="2" applyNumberFormat="1" applyFont="1" applyBorder="1"/>
    <xf numFmtId="168" fontId="29" fillId="0" borderId="0" xfId="2" applyNumberFormat="1" applyFont="1"/>
    <xf numFmtId="168" fontId="2" fillId="0" borderId="0" xfId="0" applyNumberFormat="1" applyFont="1" applyFill="1"/>
    <xf numFmtId="168" fontId="2" fillId="0" borderId="13" xfId="0" applyNumberFormat="1" applyFont="1" applyFill="1" applyBorder="1"/>
    <xf numFmtId="0" fontId="10" fillId="0" borderId="0" xfId="0" applyFont="1" applyAlignment="1">
      <alignment horizontal="left" indent="1"/>
    </xf>
    <xf numFmtId="9" fontId="10" fillId="0" borderId="0" xfId="0" applyNumberFormat="1" applyFont="1"/>
    <xf numFmtId="9" fontId="11" fillId="8" borderId="0" xfId="0" applyNumberFormat="1" applyFont="1" applyFill="1"/>
    <xf numFmtId="9" fontId="10" fillId="0" borderId="13" xfId="0" applyNumberFormat="1" applyFont="1" applyBorder="1"/>
    <xf numFmtId="9" fontId="11" fillId="8" borderId="13" xfId="0" applyNumberFormat="1" applyFont="1" applyFill="1" applyBorder="1"/>
    <xf numFmtId="0" fontId="4" fillId="6" borderId="0" xfId="0" applyFont="1" applyFill="1"/>
    <xf numFmtId="168" fontId="4" fillId="6" borderId="0" xfId="2" applyNumberFormat="1" applyFont="1" applyFill="1"/>
    <xf numFmtId="9" fontId="4" fillId="6" borderId="0" xfId="0" applyNumberFormat="1" applyFont="1" applyFill="1"/>
    <xf numFmtId="0" fontId="23" fillId="0" borderId="0" xfId="0" applyFont="1"/>
    <xf numFmtId="168" fontId="2" fillId="0" borderId="0" xfId="2" applyNumberFormat="1" applyFont="1" applyFill="1"/>
    <xf numFmtId="0" fontId="4" fillId="0" borderId="5" xfId="0" applyFont="1" applyBorder="1"/>
    <xf numFmtId="168" fontId="4" fillId="0" borderId="5" xfId="2" applyNumberFormat="1" applyFont="1" applyBorder="1"/>
    <xf numFmtId="168" fontId="2" fillId="0" borderId="5" xfId="2" applyNumberFormat="1" applyFont="1" applyBorder="1"/>
    <xf numFmtId="168" fontId="4" fillId="0" borderId="0" xfId="2" applyNumberFormat="1" applyFont="1"/>
    <xf numFmtId="168" fontId="7" fillId="0" borderId="0" xfId="2" applyNumberFormat="1" applyFont="1" applyFill="1"/>
    <xf numFmtId="168" fontId="7" fillId="0" borderId="0" xfId="2" applyNumberFormat="1" applyFont="1" applyFill="1" applyBorder="1"/>
    <xf numFmtId="168" fontId="2" fillId="0" borderId="13" xfId="2" applyNumberFormat="1" applyFont="1" applyFill="1" applyBorder="1"/>
    <xf numFmtId="168" fontId="2" fillId="0" borderId="0" xfId="2" applyNumberFormat="1" applyFont="1" applyBorder="1"/>
    <xf numFmtId="9" fontId="7" fillId="8" borderId="0" xfId="1" applyFont="1" applyFill="1"/>
    <xf numFmtId="168" fontId="2" fillId="6" borderId="0" xfId="2" applyNumberFormat="1" applyFont="1" applyFill="1"/>
    <xf numFmtId="9" fontId="7" fillId="8" borderId="0" xfId="0" applyNumberFormat="1" applyFont="1" applyFill="1"/>
    <xf numFmtId="168" fontId="7" fillId="8" borderId="0" xfId="2" applyNumberFormat="1" applyFont="1" applyFill="1"/>
    <xf numFmtId="168" fontId="7" fillId="8" borderId="13" xfId="2" applyNumberFormat="1" applyFont="1" applyFill="1" applyBorder="1"/>
    <xf numFmtId="43" fontId="4" fillId="0" borderId="5" xfId="2" applyNumberFormat="1" applyFont="1" applyBorder="1"/>
    <xf numFmtId="0" fontId="2" fillId="5" borderId="0" xfId="0" applyFont="1" applyFill="1"/>
    <xf numFmtId="170" fontId="2" fillId="5" borderId="0" xfId="0" applyNumberFormat="1" applyFont="1" applyFill="1"/>
    <xf numFmtId="0" fontId="10" fillId="5" borderId="0" xfId="0" applyFont="1" applyFill="1" applyAlignment="1">
      <alignment horizontal="left" indent="1"/>
    </xf>
    <xf numFmtId="9" fontId="10" fillId="5" borderId="0" xfId="0" applyNumberFormat="1" applyFont="1" applyFill="1"/>
    <xf numFmtId="0" fontId="2" fillId="0" borderId="0" xfId="0" quotePrefix="1" applyFont="1"/>
    <xf numFmtId="43" fontId="2" fillId="0" borderId="5" xfId="0" applyNumberFormat="1" applyFont="1" applyBorder="1"/>
    <xf numFmtId="0" fontId="4" fillId="9" borderId="6" xfId="0" applyFont="1" applyFill="1" applyBorder="1"/>
    <xf numFmtId="0" fontId="4" fillId="0" borderId="5" xfId="0" applyFont="1" applyBorder="1" applyAlignment="1">
      <alignment horizontal="right"/>
    </xf>
    <xf numFmtId="168" fontId="2" fillId="0" borderId="5" xfId="0" applyNumberFormat="1" applyFont="1" applyBorder="1"/>
    <xf numFmtId="0" fontId="30" fillId="3" borderId="0" xfId="0" applyFont="1" applyFill="1"/>
    <xf numFmtId="0" fontId="4" fillId="3" borderId="0" xfId="0" applyFont="1" applyFill="1"/>
    <xf numFmtId="178" fontId="7" fillId="0" borderId="0" xfId="0" applyNumberFormat="1" applyFont="1"/>
    <xf numFmtId="0" fontId="10" fillId="0" borderId="1" xfId="0" applyFont="1" applyBorder="1"/>
    <xf numFmtId="10" fontId="11" fillId="0" borderId="1" xfId="0" applyNumberFormat="1" applyFont="1" applyBorder="1"/>
    <xf numFmtId="10" fontId="2" fillId="0" borderId="1" xfId="0" applyNumberFormat="1" applyFont="1" applyBorder="1"/>
    <xf numFmtId="0" fontId="30" fillId="0" borderId="0" xfId="0" applyFont="1"/>
    <xf numFmtId="181" fontId="2" fillId="0" borderId="0" xfId="2" applyNumberFormat="1" applyFont="1"/>
    <xf numFmtId="181" fontId="21" fillId="0" borderId="6" xfId="2" applyNumberFormat="1" applyFont="1" applyBorder="1"/>
    <xf numFmtId="181" fontId="2" fillId="0" borderId="6" xfId="0" applyNumberFormat="1" applyFont="1" applyBorder="1"/>
    <xf numFmtId="181" fontId="7" fillId="0" borderId="6" xfId="2" applyNumberFormat="1" applyFont="1" applyBorder="1"/>
    <xf numFmtId="0" fontId="4" fillId="5" borderId="6" xfId="0" applyFont="1" applyFill="1" applyBorder="1"/>
    <xf numFmtId="168" fontId="2" fillId="0" borderId="0" xfId="0" applyNumberFormat="1" applyFont="1"/>
    <xf numFmtId="0" fontId="7" fillId="0" borderId="20" xfId="0" applyFont="1" applyBorder="1" applyAlignment="1">
      <alignment horizontal="center"/>
    </xf>
    <xf numFmtId="10" fontId="10" fillId="0" borderId="0" xfId="0" applyNumberFormat="1" applyFont="1"/>
    <xf numFmtId="0" fontId="10" fillId="3" borderId="0" xfId="0" applyFont="1" applyFill="1"/>
    <xf numFmtId="10" fontId="7" fillId="0" borderId="20" xfId="0" applyNumberFormat="1" applyFont="1" applyBorder="1"/>
    <xf numFmtId="168" fontId="21" fillId="0" borderId="0" xfId="2" applyNumberFormat="1" applyFont="1" applyBorder="1"/>
    <xf numFmtId="168" fontId="7" fillId="0" borderId="0" xfId="2" applyNumberFormat="1" applyFont="1" applyBorder="1"/>
    <xf numFmtId="168" fontId="21" fillId="0" borderId="6" xfId="2" applyNumberFormat="1" applyFont="1" applyBorder="1"/>
    <xf numFmtId="168" fontId="7" fillId="0" borderId="6" xfId="2" applyNumberFormat="1" applyFont="1" applyBorder="1"/>
    <xf numFmtId="179" fontId="2" fillId="0" borderId="0" xfId="0" applyNumberFormat="1" applyFont="1"/>
    <xf numFmtId="0" fontId="6" fillId="2" borderId="35" xfId="0" applyFont="1" applyFill="1" applyBorder="1"/>
    <xf numFmtId="0" fontId="6" fillId="2" borderId="0" xfId="0" applyFont="1" applyFill="1" applyAlignment="1">
      <alignment horizontal="centerContinuous"/>
    </xf>
    <xf numFmtId="0" fontId="6" fillId="2" borderId="21" xfId="0" applyFont="1" applyFill="1" applyBorder="1" applyAlignment="1">
      <alignment horizontal="centerContinuous"/>
    </xf>
    <xf numFmtId="0" fontId="4" fillId="7" borderId="41" xfId="0" applyFont="1" applyFill="1" applyBorder="1" applyAlignment="1">
      <alignment horizontal="right"/>
    </xf>
    <xf numFmtId="0" fontId="4" fillId="7" borderId="22" xfId="0" applyFont="1" applyFill="1" applyBorder="1" applyAlignment="1">
      <alignment horizontal="right"/>
    </xf>
    <xf numFmtId="0" fontId="4" fillId="7" borderId="25" xfId="0" applyFont="1" applyFill="1" applyBorder="1" applyAlignment="1">
      <alignment horizontal="right"/>
    </xf>
    <xf numFmtId="169" fontId="4" fillId="7" borderId="42" xfId="0" applyNumberFormat="1" applyFont="1" applyFill="1" applyBorder="1"/>
    <xf numFmtId="169" fontId="4" fillId="7" borderId="23" xfId="0" applyNumberFormat="1" applyFont="1" applyFill="1" applyBorder="1"/>
    <xf numFmtId="169" fontId="4" fillId="7" borderId="26" xfId="0" applyNumberFormat="1" applyFont="1" applyFill="1" applyBorder="1"/>
    <xf numFmtId="0" fontId="26" fillId="6" borderId="43" xfId="0" applyFont="1" applyFill="1" applyBorder="1" applyAlignment="1">
      <alignment horizontal="right"/>
    </xf>
    <xf numFmtId="0" fontId="26" fillId="6" borderId="24" xfId="0" applyFont="1" applyFill="1" applyBorder="1" applyAlignment="1">
      <alignment horizontal="right"/>
    </xf>
    <xf numFmtId="0" fontId="2" fillId="0" borderId="35" xfId="0" applyFont="1" applyBorder="1"/>
    <xf numFmtId="180" fontId="2" fillId="0" borderId="21" xfId="0" applyNumberFormat="1" applyFont="1" applyBorder="1"/>
    <xf numFmtId="0" fontId="2" fillId="0" borderId="21" xfId="0" applyFont="1" applyBorder="1"/>
    <xf numFmtId="170" fontId="2" fillId="0" borderId="35" xfId="0" applyNumberFormat="1" applyFont="1" applyBorder="1"/>
    <xf numFmtId="170" fontId="17" fillId="0" borderId="21" xfId="0" applyNumberFormat="1" applyFont="1" applyFill="1" applyBorder="1"/>
    <xf numFmtId="170" fontId="17" fillId="0" borderId="0" xfId="0" applyNumberFormat="1" applyFont="1" applyFill="1"/>
    <xf numFmtId="168" fontId="2" fillId="0" borderId="35" xfId="2" applyNumberFormat="1" applyFont="1" applyBorder="1"/>
    <xf numFmtId="168" fontId="2" fillId="0" borderId="21" xfId="2" applyNumberFormat="1" applyFont="1" applyBorder="1"/>
    <xf numFmtId="0" fontId="4" fillId="0" borderId="0" xfId="0" applyFont="1" applyFill="1"/>
    <xf numFmtId="170" fontId="4" fillId="0" borderId="5" xfId="0" applyNumberFormat="1" applyFont="1" applyFill="1" applyBorder="1"/>
    <xf numFmtId="170" fontId="4" fillId="0" borderId="34" xfId="0" applyNumberFormat="1" applyFont="1" applyFill="1" applyBorder="1"/>
    <xf numFmtId="170" fontId="4" fillId="0" borderId="27" xfId="0" applyNumberFormat="1" applyFont="1" applyFill="1" applyBorder="1"/>
    <xf numFmtId="0" fontId="4" fillId="5" borderId="0" xfId="0" applyFont="1" applyFill="1"/>
    <xf numFmtId="170" fontId="4" fillId="5" borderId="5" xfId="0" applyNumberFormat="1" applyFont="1" applyFill="1" applyBorder="1"/>
    <xf numFmtId="170" fontId="4" fillId="5" borderId="34" xfId="0" applyNumberFormat="1" applyFont="1" applyFill="1" applyBorder="1"/>
    <xf numFmtId="170" fontId="4" fillId="5" borderId="27" xfId="0" applyNumberFormat="1" applyFont="1" applyFill="1" applyBorder="1"/>
    <xf numFmtId="168" fontId="4" fillId="0" borderId="5" xfId="0" applyNumberFormat="1" applyFont="1" applyFill="1" applyBorder="1"/>
    <xf numFmtId="168" fontId="4" fillId="0" borderId="34" xfId="0" applyNumberFormat="1" applyFont="1" applyFill="1" applyBorder="1"/>
    <xf numFmtId="168" fontId="4" fillId="0" borderId="5" xfId="2" applyNumberFormat="1" applyFont="1" applyFill="1" applyBorder="1"/>
    <xf numFmtId="168" fontId="4" fillId="0" borderId="27" xfId="2" applyNumberFormat="1" applyFont="1" applyFill="1" applyBorder="1"/>
    <xf numFmtId="177" fontId="2" fillId="0" borderId="0" xfId="0" applyNumberFormat="1" applyFont="1"/>
    <xf numFmtId="168" fontId="2" fillId="0" borderId="21" xfId="2" applyNumberFormat="1" applyFont="1" applyFill="1" applyBorder="1"/>
    <xf numFmtId="168" fontId="4" fillId="5" borderId="5" xfId="2" applyNumberFormat="1" applyFont="1" applyFill="1" applyBorder="1"/>
    <xf numFmtId="168" fontId="4" fillId="5" borderId="34" xfId="2" applyNumberFormat="1" applyFont="1" applyFill="1" applyBorder="1"/>
    <xf numFmtId="168" fontId="4" fillId="5" borderId="27" xfId="2" applyNumberFormat="1" applyFont="1" applyFill="1" applyBorder="1"/>
    <xf numFmtId="0" fontId="26" fillId="4" borderId="0" xfId="0" applyFont="1" applyFill="1"/>
    <xf numFmtId="170" fontId="10" fillId="4" borderId="0" xfId="0" applyNumberFormat="1" applyFont="1" applyFill="1"/>
    <xf numFmtId="170" fontId="10" fillId="4" borderId="35" xfId="0" applyNumberFormat="1" applyFont="1" applyFill="1" applyBorder="1"/>
    <xf numFmtId="170" fontId="2" fillId="4" borderId="0" xfId="0" applyNumberFormat="1" applyFont="1" applyFill="1"/>
    <xf numFmtId="170" fontId="10" fillId="4" borderId="21" xfId="0" applyNumberFormat="1" applyFont="1" applyFill="1" applyBorder="1"/>
    <xf numFmtId="0" fontId="4" fillId="5" borderId="0" xfId="0" applyFont="1" applyFill="1" applyBorder="1"/>
    <xf numFmtId="170" fontId="4" fillId="5" borderId="0" xfId="0" applyNumberFormat="1" applyFont="1" applyFill="1" applyBorder="1"/>
    <xf numFmtId="170" fontId="4" fillId="5" borderId="35" xfId="0" applyNumberFormat="1" applyFont="1" applyFill="1" applyBorder="1"/>
    <xf numFmtId="170" fontId="2" fillId="0" borderId="0" xfId="0" applyNumberFormat="1" applyFont="1" applyBorder="1"/>
    <xf numFmtId="170" fontId="4" fillId="5" borderId="21" xfId="0" applyNumberFormat="1" applyFont="1" applyFill="1" applyBorder="1"/>
    <xf numFmtId="0" fontId="7" fillId="0" borderId="35" xfId="0" applyFont="1" applyBorder="1"/>
    <xf numFmtId="168" fontId="10" fillId="0" borderId="0" xfId="2" applyNumberFormat="1" applyFont="1"/>
    <xf numFmtId="168" fontId="10" fillId="0" borderId="35" xfId="2" applyNumberFormat="1" applyFont="1" applyBorder="1"/>
    <xf numFmtId="168" fontId="11" fillId="0" borderId="0" xfId="2" applyNumberFormat="1" applyFont="1"/>
    <xf numFmtId="168" fontId="11" fillId="0" borderId="21" xfId="2" applyNumberFormat="1" applyFont="1" applyBorder="1"/>
    <xf numFmtId="168" fontId="10" fillId="0" borderId="21" xfId="2" applyNumberFormat="1" applyFont="1" applyBorder="1"/>
    <xf numFmtId="0" fontId="10" fillId="0" borderId="0" xfId="0" applyFont="1" applyBorder="1" applyAlignment="1">
      <alignment horizontal="left" indent="1"/>
    </xf>
    <xf numFmtId="168" fontId="10" fillId="0" borderId="0" xfId="2" applyNumberFormat="1" applyFont="1" applyBorder="1"/>
    <xf numFmtId="9" fontId="10" fillId="0" borderId="35" xfId="1" applyFont="1" applyBorder="1"/>
    <xf numFmtId="9" fontId="11" fillId="0" borderId="0" xfId="1" applyFont="1"/>
    <xf numFmtId="9" fontId="11" fillId="0" borderId="21" xfId="1" applyFont="1" applyBorder="1"/>
    <xf numFmtId="168" fontId="4" fillId="0" borderId="34" xfId="2" applyNumberFormat="1" applyFont="1" applyBorder="1"/>
    <xf numFmtId="168" fontId="4" fillId="0" borderId="27" xfId="2" applyNumberFormat="1" applyFont="1" applyBorder="1"/>
    <xf numFmtId="9" fontId="10" fillId="0" borderId="21" xfId="1" applyFont="1" applyBorder="1"/>
    <xf numFmtId="171" fontId="2" fillId="0" borderId="0" xfId="0" applyNumberFormat="1" applyFont="1"/>
    <xf numFmtId="168" fontId="4" fillId="0" borderId="0" xfId="2" applyNumberFormat="1" applyFont="1" applyFill="1" applyBorder="1"/>
    <xf numFmtId="168" fontId="2" fillId="5" borderId="0" xfId="2" applyNumberFormat="1" applyFont="1" applyFill="1" applyBorder="1"/>
    <xf numFmtId="168" fontId="7" fillId="5" borderId="0" xfId="2" applyNumberFormat="1" applyFont="1" applyFill="1" applyBorder="1"/>
    <xf numFmtId="8" fontId="2" fillId="0" borderId="35" xfId="0" applyNumberFormat="1" applyFont="1" applyBorder="1"/>
    <xf numFmtId="168" fontId="7" fillId="0" borderId="35" xfId="2" applyNumberFormat="1" applyFont="1" applyBorder="1"/>
    <xf numFmtId="168" fontId="4" fillId="0" borderId="35" xfId="2" applyNumberFormat="1" applyFont="1" applyFill="1" applyBorder="1"/>
    <xf numFmtId="168" fontId="7" fillId="5" borderId="35" xfId="2" applyNumberFormat="1" applyFont="1" applyFill="1" applyBorder="1"/>
    <xf numFmtId="168" fontId="2" fillId="5" borderId="35" xfId="2" applyNumberFormat="1" applyFont="1" applyFill="1" applyBorder="1"/>
    <xf numFmtId="0" fontId="2" fillId="0" borderId="37" xfId="0" applyFont="1" applyBorder="1"/>
    <xf numFmtId="0" fontId="6" fillId="2" borderId="35" xfId="0" applyFont="1" applyFill="1" applyBorder="1" applyAlignment="1">
      <alignment horizontal="centerContinuous"/>
    </xf>
    <xf numFmtId="0" fontId="2" fillId="0" borderId="45" xfId="0" applyFont="1" applyBorder="1"/>
    <xf numFmtId="168" fontId="17" fillId="0" borderId="45" xfId="2" applyNumberFormat="1" applyFont="1" applyFill="1" applyBorder="1"/>
    <xf numFmtId="168" fontId="19" fillId="0" borderId="44" xfId="2" applyNumberFormat="1" applyFont="1" applyFill="1" applyBorder="1"/>
    <xf numFmtId="182" fontId="4" fillId="3" borderId="44" xfId="0" applyNumberFormat="1" applyFont="1" applyFill="1" applyBorder="1" applyAlignment="1">
      <alignment horizontal="right"/>
    </xf>
    <xf numFmtId="183" fontId="4" fillId="3" borderId="1" xfId="0" applyNumberFormat="1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4" fillId="3" borderId="1" xfId="0" applyFont="1" applyFill="1" applyBorder="1" applyAlignment="1">
      <alignment horizontal="right" wrapText="1"/>
    </xf>
    <xf numFmtId="183" fontId="4" fillId="3" borderId="44" xfId="0" applyNumberFormat="1" applyFont="1" applyFill="1" applyBorder="1" applyAlignment="1">
      <alignment horizontal="right"/>
    </xf>
    <xf numFmtId="0" fontId="6" fillId="2" borderId="35" xfId="0" applyNumberFormat="1" applyFont="1" applyFill="1" applyBorder="1" applyAlignment="1">
      <alignment horizontal="centerContinuous"/>
    </xf>
    <xf numFmtId="9" fontId="26" fillId="5" borderId="35" xfId="0" applyNumberFormat="1" applyFont="1" applyFill="1" applyBorder="1"/>
    <xf numFmtId="9" fontId="10" fillId="0" borderId="35" xfId="0" applyNumberFormat="1" applyFont="1" applyBorder="1"/>
    <xf numFmtId="168" fontId="4" fillId="6" borderId="35" xfId="2" applyNumberFormat="1" applyFont="1" applyFill="1" applyBorder="1"/>
    <xf numFmtId="9" fontId="4" fillId="6" borderId="35" xfId="0" applyNumberFormat="1" applyFont="1" applyFill="1" applyBorder="1"/>
    <xf numFmtId="168" fontId="2" fillId="0" borderId="34" xfId="2" applyNumberFormat="1" applyFont="1" applyBorder="1"/>
    <xf numFmtId="168" fontId="4" fillId="0" borderId="35" xfId="2" applyNumberFormat="1" applyFont="1" applyBorder="1"/>
    <xf numFmtId="168" fontId="2" fillId="6" borderId="35" xfId="2" applyNumberFormat="1" applyFont="1" applyFill="1" applyBorder="1"/>
    <xf numFmtId="170" fontId="2" fillId="5" borderId="35" xfId="0" applyNumberFormat="1" applyFont="1" applyFill="1" applyBorder="1"/>
    <xf numFmtId="9" fontId="10" fillId="5" borderId="35" xfId="0" applyNumberFormat="1" applyFont="1" applyFill="1" applyBorder="1"/>
    <xf numFmtId="0" fontId="2" fillId="0" borderId="40" xfId="0" applyFont="1" applyBorder="1"/>
    <xf numFmtId="0" fontId="2" fillId="3" borderId="35" xfId="0" applyFont="1" applyFill="1" applyBorder="1"/>
    <xf numFmtId="0" fontId="4" fillId="5" borderId="37" xfId="0" applyFont="1" applyFill="1" applyBorder="1"/>
    <xf numFmtId="0" fontId="10" fillId="3" borderId="35" xfId="0" applyFont="1" applyFill="1" applyBorder="1"/>
    <xf numFmtId="9" fontId="28" fillId="8" borderId="35" xfId="0" applyNumberFormat="1" applyFont="1" applyFill="1" applyBorder="1"/>
    <xf numFmtId="168" fontId="2" fillId="0" borderId="35" xfId="0" applyNumberFormat="1" applyFont="1" applyFill="1" applyBorder="1"/>
    <xf numFmtId="9" fontId="11" fillId="8" borderId="35" xfId="0" applyNumberFormat="1" applyFont="1" applyFill="1" applyBorder="1"/>
    <xf numFmtId="168" fontId="2" fillId="0" borderId="35" xfId="2" applyNumberFormat="1" applyFont="1" applyFill="1" applyBorder="1"/>
    <xf numFmtId="9" fontId="7" fillId="8" borderId="35" xfId="0" applyNumberFormat="1" applyFont="1" applyFill="1" applyBorder="1"/>
    <xf numFmtId="168" fontId="7" fillId="8" borderId="35" xfId="2" applyNumberFormat="1" applyFont="1" applyFill="1" applyBorder="1"/>
    <xf numFmtId="43" fontId="2" fillId="0" borderId="35" xfId="0" applyNumberFormat="1" applyFont="1" applyBorder="1"/>
    <xf numFmtId="10" fontId="2" fillId="0" borderId="40" xfId="0" applyNumberFormat="1" applyFont="1" applyBorder="1"/>
    <xf numFmtId="181" fontId="2" fillId="0" borderId="35" xfId="2" applyNumberFormat="1" applyFont="1" applyBorder="1"/>
    <xf numFmtId="181" fontId="21" fillId="0" borderId="37" xfId="2" applyNumberFormat="1" applyFont="1" applyBorder="1"/>
    <xf numFmtId="43" fontId="2" fillId="0" borderId="35" xfId="2" applyFont="1" applyBorder="1"/>
    <xf numFmtId="10" fontId="10" fillId="0" borderId="35" xfId="0" applyNumberFormat="1" applyFont="1" applyBorder="1"/>
    <xf numFmtId="168" fontId="21" fillId="0" borderId="35" xfId="2" applyNumberFormat="1" applyFont="1" applyBorder="1"/>
    <xf numFmtId="168" fontId="21" fillId="0" borderId="37" xfId="2" applyNumberFormat="1" applyFont="1" applyBorder="1"/>
    <xf numFmtId="179" fontId="2" fillId="0" borderId="35" xfId="0" applyNumberFormat="1" applyFont="1" applyBorder="1"/>
    <xf numFmtId="9" fontId="2" fillId="0" borderId="35" xfId="1" applyFont="1" applyBorder="1"/>
    <xf numFmtId="9" fontId="2" fillId="0" borderId="13" xfId="1" applyFont="1" applyBorder="1"/>
    <xf numFmtId="10" fontId="19" fillId="0" borderId="0" xfId="0" applyNumberFormat="1" applyFont="1"/>
    <xf numFmtId="9" fontId="21" fillId="0" borderId="0" xfId="0" applyNumberFormat="1" applyFont="1"/>
    <xf numFmtId="9" fontId="17" fillId="0" borderId="0" xfId="0" applyNumberFormat="1" applyFont="1"/>
    <xf numFmtId="166" fontId="7" fillId="0" borderId="0" xfId="0" applyNumberFormat="1" applyFont="1"/>
    <xf numFmtId="167" fontId="4" fillId="3" borderId="40" xfId="0" applyNumberFormat="1" applyFont="1" applyFill="1" applyBorder="1"/>
    <xf numFmtId="0" fontId="4" fillId="3" borderId="0" xfId="0" applyFont="1" applyFill="1" applyBorder="1"/>
    <xf numFmtId="0" fontId="4" fillId="0" borderId="0" xfId="0" applyFont="1" applyFill="1" applyBorder="1"/>
    <xf numFmtId="167" fontId="4" fillId="0" borderId="5" xfId="0" applyNumberFormat="1" applyFont="1" applyFill="1" applyBorder="1"/>
    <xf numFmtId="184" fontId="4" fillId="0" borderId="0" xfId="0" applyNumberFormat="1" applyFont="1" applyFill="1" applyBorder="1"/>
    <xf numFmtId="0" fontId="26" fillId="0" borderId="39" xfId="0" applyFont="1" applyBorder="1"/>
    <xf numFmtId="0" fontId="26" fillId="0" borderId="1" xfId="0" applyFont="1" applyBorder="1"/>
    <xf numFmtId="10" fontId="2" fillId="0" borderId="0" xfId="1" applyNumberFormat="1" applyFont="1"/>
    <xf numFmtId="184" fontId="24" fillId="0" borderId="27" xfId="0" applyNumberFormat="1" applyFont="1" applyBorder="1"/>
    <xf numFmtId="185" fontId="2" fillId="0" borderId="0" xfId="2" applyNumberFormat="1" applyFont="1"/>
    <xf numFmtId="4" fontId="2" fillId="0" borderId="0" xfId="2" applyNumberFormat="1" applyFont="1"/>
    <xf numFmtId="185" fontId="4" fillId="3" borderId="40" xfId="0" applyNumberFormat="1" applyFont="1" applyFill="1" applyBorder="1"/>
    <xf numFmtId="10" fontId="4" fillId="0" borderId="46" xfId="1" applyNumberFormat="1" applyFont="1" applyBorder="1"/>
    <xf numFmtId="10" fontId="22" fillId="0" borderId="46" xfId="1" applyNumberFormat="1" applyFont="1" applyBorder="1"/>
    <xf numFmtId="10" fontId="4" fillId="0" borderId="1" xfId="1" applyNumberFormat="1" applyFont="1" applyBorder="1"/>
    <xf numFmtId="10" fontId="22" fillId="0" borderId="1" xfId="0" applyNumberFormat="1" applyFont="1" applyBorder="1"/>
    <xf numFmtId="0" fontId="2" fillId="3" borderId="21" xfId="0" applyFont="1" applyFill="1" applyBorder="1" applyAlignment="1">
      <alignment horizontal="centerContinuous"/>
    </xf>
    <xf numFmtId="0" fontId="4" fillId="3" borderId="21" xfId="0" applyFont="1" applyFill="1" applyBorder="1" applyAlignment="1">
      <alignment horizontal="centerContinuous"/>
    </xf>
    <xf numFmtId="0" fontId="4" fillId="3" borderId="1" xfId="0" applyFont="1" applyFill="1" applyBorder="1" applyAlignment="1">
      <alignment horizontal="centerContinuous"/>
    </xf>
    <xf numFmtId="0" fontId="4" fillId="0" borderId="0" xfId="0" applyFont="1" applyFill="1" applyBorder="1" applyAlignment="1">
      <alignment horizontal="centerContinuous"/>
    </xf>
    <xf numFmtId="10" fontId="4" fillId="0" borderId="0" xfId="1" applyNumberFormat="1" applyFont="1" applyFill="1" applyBorder="1"/>
    <xf numFmtId="10" fontId="2" fillId="0" borderId="0" xfId="1" applyNumberFormat="1" applyFont="1" applyFill="1"/>
    <xf numFmtId="185" fontId="2" fillId="0" borderId="0" xfId="2" applyNumberFormat="1" applyFont="1" applyFill="1"/>
    <xf numFmtId="4" fontId="2" fillId="0" borderId="0" xfId="2" applyNumberFormat="1" applyFont="1" applyFill="1"/>
    <xf numFmtId="0" fontId="6" fillId="0" borderId="0" xfId="0" applyFont="1" applyFill="1" applyBorder="1" applyAlignment="1">
      <alignment horizontal="centerContinuous"/>
    </xf>
    <xf numFmtId="186" fontId="2" fillId="0" borderId="0" xfId="0" applyNumberFormat="1" applyFont="1"/>
    <xf numFmtId="166" fontId="10" fillId="0" borderId="0" xfId="1" applyNumberFormat="1" applyFont="1"/>
    <xf numFmtId="0" fontId="6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1" xfId="0" quotePrefix="1" applyFont="1" applyFill="1" applyBorder="1" applyAlignment="1">
      <alignment horizontal="center" vertical="center" wrapText="1"/>
    </xf>
    <xf numFmtId="170" fontId="22" fillId="5" borderId="35" xfId="0" applyNumberFormat="1" applyFont="1" applyFill="1" applyBorder="1"/>
    <xf numFmtId="168" fontId="7" fillId="0" borderId="35" xfId="2" applyNumberFormat="1" applyFont="1" applyFill="1" applyBorder="1"/>
    <xf numFmtId="0" fontId="4" fillId="0" borderId="37" xfId="0" applyFont="1" applyBorder="1"/>
    <xf numFmtId="172" fontId="2" fillId="0" borderId="35" xfId="0" applyNumberFormat="1" applyFont="1" applyBorder="1"/>
    <xf numFmtId="0" fontId="2" fillId="0" borderId="34" xfId="0" applyFont="1" applyBorder="1"/>
    <xf numFmtId="0" fontId="4" fillId="9" borderId="37" xfId="0" applyFont="1" applyFill="1" applyBorder="1"/>
    <xf numFmtId="0" fontId="4" fillId="0" borderId="34" xfId="0" applyFont="1" applyBorder="1"/>
    <xf numFmtId="0" fontId="10" fillId="0" borderId="35" xfId="0" applyFont="1" applyBorder="1"/>
    <xf numFmtId="0" fontId="4" fillId="0" borderId="35" xfId="0" applyFont="1" applyBorder="1"/>
    <xf numFmtId="166" fontId="0" fillId="0" borderId="0" xfId="1" applyNumberFormat="1" applyFont="1"/>
    <xf numFmtId="168" fontId="2" fillId="3" borderId="0" xfId="2" applyNumberFormat="1" applyFont="1" applyFill="1"/>
    <xf numFmtId="168" fontId="2" fillId="3" borderId="35" xfId="2" applyNumberFormat="1" applyFont="1" applyFill="1" applyBorder="1"/>
    <xf numFmtId="168" fontId="2" fillId="0" borderId="27" xfId="2" applyNumberFormat="1" applyFont="1" applyBorder="1"/>
    <xf numFmtId="0" fontId="4" fillId="3" borderId="6" xfId="0" applyFont="1" applyFill="1" applyBorder="1"/>
    <xf numFmtId="166" fontId="2" fillId="0" borderId="35" xfId="1" applyNumberFormat="1" applyFont="1" applyBorder="1"/>
    <xf numFmtId="187" fontId="2" fillId="0" borderId="35" xfId="0" applyNumberFormat="1" applyFont="1" applyBorder="1"/>
    <xf numFmtId="187" fontId="2" fillId="0" borderId="0" xfId="0" applyNumberFormat="1" applyFont="1"/>
    <xf numFmtId="3" fontId="2" fillId="0" borderId="35" xfId="0" applyNumberFormat="1" applyFont="1" applyBorder="1"/>
    <xf numFmtId="3" fontId="2" fillId="0" borderId="0" xfId="0" applyNumberFormat="1" applyFont="1"/>
    <xf numFmtId="166" fontId="10" fillId="0" borderId="35" xfId="1" applyNumberFormat="1" applyFont="1" applyBorder="1"/>
    <xf numFmtId="0" fontId="10" fillId="0" borderId="0" xfId="0" applyFont="1" applyBorder="1"/>
    <xf numFmtId="0" fontId="6" fillId="2" borderId="6" xfId="0" applyFont="1" applyFill="1" applyBorder="1"/>
    <xf numFmtId="0" fontId="6" fillId="2" borderId="37" xfId="0" applyFont="1" applyFill="1" applyBorder="1"/>
    <xf numFmtId="182" fontId="4" fillId="3" borderId="35" xfId="0" applyNumberFormat="1" applyFont="1" applyFill="1" applyBorder="1"/>
    <xf numFmtId="183" fontId="4" fillId="3" borderId="0" xfId="0" applyNumberFormat="1" applyFont="1" applyFill="1"/>
    <xf numFmtId="0" fontId="4" fillId="3" borderId="0" xfId="0" quotePrefix="1" applyFont="1" applyFill="1"/>
    <xf numFmtId="0" fontId="2" fillId="0" borderId="0" xfId="0" applyFont="1" applyAlignment="1">
      <alignment horizontal="left" indent="1"/>
    </xf>
    <xf numFmtId="0" fontId="10" fillId="0" borderId="0" xfId="0" applyFont="1" applyAlignment="1">
      <alignment horizontal="left" indent="2"/>
    </xf>
    <xf numFmtId="2" fontId="2" fillId="0" borderId="5" xfId="0" applyNumberFormat="1" applyFont="1" applyBorder="1"/>
    <xf numFmtId="2" fontId="2" fillId="0" borderId="34" xfId="0" applyNumberFormat="1" applyFont="1" applyBorder="1"/>
    <xf numFmtId="3" fontId="4" fillId="0" borderId="34" xfId="0" applyNumberFormat="1" applyFont="1" applyBorder="1"/>
    <xf numFmtId="3" fontId="4" fillId="0" borderId="5" xfId="0" applyNumberFormat="1" applyFont="1" applyBorder="1"/>
    <xf numFmtId="3" fontId="4" fillId="0" borderId="0" xfId="0" applyNumberFormat="1" applyFont="1"/>
    <xf numFmtId="9" fontId="4" fillId="0" borderId="0" xfId="1" applyFont="1"/>
    <xf numFmtId="181" fontId="4" fillId="0" borderId="5" xfId="2" applyNumberFormat="1" applyFont="1" applyBorder="1"/>
    <xf numFmtId="2" fontId="17" fillId="0" borderId="5" xfId="0" applyNumberFormat="1" applyFont="1" applyBorder="1"/>
    <xf numFmtId="0" fontId="17" fillId="0" borderId="5" xfId="0" applyFont="1" applyBorder="1"/>
    <xf numFmtId="0" fontId="31" fillId="0" borderId="0" xfId="0" applyFont="1"/>
    <xf numFmtId="0" fontId="17" fillId="3" borderId="27" xfId="0" applyFont="1" applyFill="1" applyBorder="1"/>
    <xf numFmtId="0" fontId="17" fillId="3" borderId="5" xfId="0" applyFont="1" applyFill="1" applyBorder="1"/>
    <xf numFmtId="0" fontId="19" fillId="3" borderId="1" xfId="0" applyFont="1" applyFill="1" applyBorder="1" applyAlignment="1">
      <alignment horizontal="centerContinuous"/>
    </xf>
    <xf numFmtId="0" fontId="17" fillId="3" borderId="21" xfId="0" applyFont="1" applyFill="1" applyBorder="1"/>
    <xf numFmtId="184" fontId="17" fillId="0" borderId="27" xfId="0" applyNumberFormat="1" applyFont="1" applyBorder="1"/>
    <xf numFmtId="10" fontId="19" fillId="0" borderId="1" xfId="1" applyNumberFormat="1" applyFont="1" applyBorder="1"/>
    <xf numFmtId="10" fontId="19" fillId="0" borderId="1" xfId="0" applyNumberFormat="1" applyFont="1" applyBorder="1"/>
    <xf numFmtId="0" fontId="17" fillId="3" borderId="21" xfId="0" applyFont="1" applyFill="1" applyBorder="1" applyAlignment="1">
      <alignment horizontal="centerContinuous"/>
    </xf>
    <xf numFmtId="10" fontId="19" fillId="0" borderId="46" xfId="1" applyNumberFormat="1" applyFont="1" applyBorder="1"/>
    <xf numFmtId="185" fontId="17" fillId="0" borderId="0" xfId="2" applyNumberFormat="1" applyFont="1"/>
    <xf numFmtId="0" fontId="19" fillId="3" borderId="21" xfId="0" applyFont="1" applyFill="1" applyBorder="1" applyAlignment="1">
      <alignment horizontal="centerContinuous"/>
    </xf>
    <xf numFmtId="4" fontId="17" fillId="0" borderId="0" xfId="2" applyNumberFormat="1" applyFont="1"/>
    <xf numFmtId="166" fontId="17" fillId="0" borderId="0" xfId="1" applyNumberFormat="1" applyFont="1"/>
    <xf numFmtId="0" fontId="19" fillId="3" borderId="1" xfId="0" applyFont="1" applyFill="1" applyBorder="1"/>
    <xf numFmtId="182" fontId="19" fillId="3" borderId="44" xfId="0" applyNumberFormat="1" applyFont="1" applyFill="1" applyBorder="1" applyAlignment="1">
      <alignment horizontal="right"/>
    </xf>
    <xf numFmtId="183" fontId="19" fillId="3" borderId="1" xfId="0" applyNumberFormat="1" applyFont="1" applyFill="1" applyBorder="1" applyAlignment="1">
      <alignment horizontal="right"/>
    </xf>
    <xf numFmtId="0" fontId="17" fillId="0" borderId="0" xfId="0" applyFont="1" applyAlignment="1">
      <alignment horizontal="right"/>
    </xf>
    <xf numFmtId="0" fontId="19" fillId="3" borderId="1" xfId="0" applyFont="1" applyFill="1" applyBorder="1" applyAlignment="1">
      <alignment horizontal="right" wrapText="1"/>
    </xf>
    <xf numFmtId="0" fontId="17" fillId="0" borderId="45" xfId="0" applyFont="1" applyBorder="1"/>
    <xf numFmtId="168" fontId="17" fillId="0" borderId="45" xfId="2" applyNumberFormat="1" applyFont="1" applyBorder="1"/>
    <xf numFmtId="168" fontId="17" fillId="0" borderId="0" xfId="2" applyNumberFormat="1" applyFont="1"/>
    <xf numFmtId="9" fontId="18" fillId="0" borderId="45" xfId="1" applyFont="1" applyBorder="1"/>
    <xf numFmtId="166" fontId="17" fillId="0" borderId="0" xfId="0" applyNumberFormat="1" applyFont="1"/>
    <xf numFmtId="0" fontId="19" fillId="0" borderId="1" xfId="0" applyFont="1" applyBorder="1"/>
    <xf numFmtId="0" fontId="31" fillId="0" borderId="45" xfId="0" applyFont="1" applyBorder="1"/>
    <xf numFmtId="43" fontId="31" fillId="0" borderId="0" xfId="2" applyFont="1"/>
    <xf numFmtId="164" fontId="31" fillId="0" borderId="45" xfId="0" applyNumberFormat="1" applyFont="1" applyBorder="1"/>
    <xf numFmtId="0" fontId="18" fillId="0" borderId="0" xfId="0" applyFont="1"/>
    <xf numFmtId="167" fontId="17" fillId="0" borderId="45" xfId="0" applyNumberFormat="1" applyFont="1" applyBorder="1"/>
    <xf numFmtId="168" fontId="18" fillId="0" borderId="0" xfId="2" applyNumberFormat="1" applyFont="1"/>
    <xf numFmtId="186" fontId="19" fillId="0" borderId="46" xfId="1" applyNumberFormat="1" applyFont="1" applyBorder="1"/>
    <xf numFmtId="0" fontId="19" fillId="3" borderId="21" xfId="0" quotePrefix="1" applyFont="1" applyFill="1" applyBorder="1" applyAlignment="1">
      <alignment horizontal="centerContinuous"/>
    </xf>
    <xf numFmtId="10" fontId="17" fillId="0" borderId="0" xfId="1" applyNumberFormat="1" applyFont="1"/>
    <xf numFmtId="0" fontId="17" fillId="2" borderId="0" xfId="0" applyFont="1" applyFill="1"/>
    <xf numFmtId="0" fontId="17" fillId="3" borderId="0" xfId="0" applyFont="1" applyFill="1"/>
    <xf numFmtId="0" fontId="19" fillId="3" borderId="0" xfId="0" applyFont="1" applyFill="1" applyAlignment="1">
      <alignment horizontal="centerContinuous" wrapText="1"/>
    </xf>
    <xf numFmtId="0" fontId="17" fillId="3" borderId="0" xfId="0" applyFont="1" applyFill="1" applyAlignment="1">
      <alignment horizontal="centerContinuous" wrapText="1"/>
    </xf>
    <xf numFmtId="0" fontId="17" fillId="3" borderId="32" xfId="0" applyFont="1" applyFill="1" applyBorder="1"/>
    <xf numFmtId="0" fontId="19" fillId="3" borderId="38" xfId="0" applyFont="1" applyFill="1" applyBorder="1" applyAlignment="1">
      <alignment horizontal="center"/>
    </xf>
    <xf numFmtId="0" fontId="19" fillId="0" borderId="0" xfId="0" applyFont="1"/>
    <xf numFmtId="10" fontId="17" fillId="0" borderId="0" xfId="0" applyNumberFormat="1" applyFont="1"/>
    <xf numFmtId="171" fontId="17" fillId="0" borderId="0" xfId="2" applyNumberFormat="1" applyFont="1"/>
    <xf numFmtId="0" fontId="17" fillId="0" borderId="0" xfId="0" applyFont="1" applyAlignment="1">
      <alignment horizontal="left" indent="2"/>
    </xf>
    <xf numFmtId="10" fontId="17" fillId="0" borderId="29" xfId="0" applyNumberFormat="1" applyFont="1" applyBorder="1"/>
    <xf numFmtId="10" fontId="19" fillId="0" borderId="29" xfId="0" applyNumberFormat="1" applyFont="1" applyBorder="1"/>
    <xf numFmtId="10" fontId="19" fillId="0" borderId="0" xfId="0" applyNumberFormat="1" applyFont="1" applyBorder="1"/>
    <xf numFmtId="0" fontId="19" fillId="3" borderId="39" xfId="0" applyFont="1" applyFill="1" applyBorder="1"/>
    <xf numFmtId="10" fontId="19" fillId="3" borderId="1" xfId="0" applyNumberFormat="1" applyFont="1" applyFill="1" applyBorder="1"/>
    <xf numFmtId="10" fontId="19" fillId="3" borderId="40" xfId="0" applyNumberFormat="1" applyFont="1" applyFill="1" applyBorder="1"/>
    <xf numFmtId="168" fontId="4" fillId="3" borderId="0" xfId="2" applyNumberFormat="1" applyFont="1" applyFill="1"/>
    <xf numFmtId="179" fontId="4" fillId="3" borderId="0" xfId="0" applyNumberFormat="1" applyFont="1" applyFill="1"/>
    <xf numFmtId="9" fontId="4" fillId="0" borderId="0" xfId="1" applyFont="1" applyFill="1"/>
    <xf numFmtId="0" fontId="26" fillId="6" borderId="11" xfId="0" applyFont="1" applyFill="1" applyBorder="1" applyAlignment="1">
      <alignment horizontal="right"/>
    </xf>
    <xf numFmtId="0" fontId="26" fillId="6" borderId="41" xfId="0" applyFont="1" applyFill="1" applyBorder="1" applyAlignment="1">
      <alignment horizontal="right"/>
    </xf>
    <xf numFmtId="0" fontId="26" fillId="6" borderId="14" xfId="0" applyFont="1" applyFill="1" applyBorder="1" applyAlignment="1">
      <alignment horizontal="right"/>
    </xf>
    <xf numFmtId="168" fontId="4" fillId="3" borderId="35" xfId="2" applyNumberFormat="1" applyFont="1" applyFill="1" applyBorder="1"/>
    <xf numFmtId="0" fontId="26" fillId="0" borderId="0" xfId="0" applyFont="1" applyFill="1" applyBorder="1" applyAlignment="1">
      <alignment horizontal="right"/>
    </xf>
    <xf numFmtId="0" fontId="26" fillId="0" borderId="35" xfId="0" applyFont="1" applyFill="1" applyBorder="1" applyAlignment="1">
      <alignment horizontal="right"/>
    </xf>
    <xf numFmtId="0" fontId="4" fillId="3" borderId="32" xfId="0" applyNumberFormat="1" applyFont="1" applyFill="1" applyBorder="1" applyAlignment="1">
      <alignment horizontal="centerContinuous"/>
    </xf>
    <xf numFmtId="0" fontId="2" fillId="0" borderId="0" xfId="0" applyFont="1" applyAlignment="1">
      <alignment vertical="center"/>
    </xf>
    <xf numFmtId="9" fontId="2" fillId="0" borderId="0" xfId="1" applyFont="1" applyAlignment="1">
      <alignment vertical="center"/>
    </xf>
    <xf numFmtId="0" fontId="4" fillId="3" borderId="1" xfId="0" applyFont="1" applyFill="1" applyBorder="1" applyAlignment="1">
      <alignment vertical="center"/>
    </xf>
    <xf numFmtId="9" fontId="4" fillId="3" borderId="1" xfId="1" applyFont="1" applyFill="1" applyBorder="1" applyAlignment="1">
      <alignment vertical="center"/>
    </xf>
    <xf numFmtId="0" fontId="6" fillId="2" borderId="0" xfId="0" quotePrefix="1" applyFont="1" applyFill="1"/>
    <xf numFmtId="9" fontId="2" fillId="0" borderId="0" xfId="1" applyFont="1" applyFill="1"/>
    <xf numFmtId="182" fontId="0" fillId="0" borderId="0" xfId="0" applyNumberFormat="1"/>
    <xf numFmtId="183" fontId="0" fillId="0" borderId="0" xfId="0" applyNumberFormat="1"/>
    <xf numFmtId="166" fontId="0" fillId="0" borderId="0" xfId="0" applyNumberFormat="1"/>
    <xf numFmtId="171" fontId="2" fillId="0" borderId="0" xfId="2" applyNumberFormat="1" applyFont="1" applyFill="1"/>
    <xf numFmtId="8" fontId="4" fillId="0" borderId="0" xfId="0" applyNumberFormat="1" applyFont="1" applyFill="1"/>
    <xf numFmtId="168" fontId="4" fillId="0" borderId="0" xfId="2" applyNumberFormat="1" applyFont="1" applyFill="1"/>
    <xf numFmtId="179" fontId="4" fillId="0" borderId="0" xfId="2" applyNumberFormat="1" applyFont="1" applyFill="1"/>
    <xf numFmtId="14" fontId="2" fillId="0" borderId="0" xfId="0" applyNumberFormat="1" applyFont="1"/>
    <xf numFmtId="6" fontId="2" fillId="0" borderId="0" xfId="0" applyNumberFormat="1" applyFont="1"/>
    <xf numFmtId="0" fontId="17" fillId="3" borderId="1" xfId="0" applyFont="1" applyFill="1" applyBorder="1"/>
    <xf numFmtId="8" fontId="17" fillId="0" borderId="0" xfId="0" applyNumberFormat="1" applyFont="1" applyAlignment="1">
      <alignment horizontal="right"/>
    </xf>
    <xf numFmtId="9" fontId="17" fillId="0" borderId="6" xfId="1" applyFont="1" applyBorder="1" applyAlignment="1">
      <alignment horizontal="right"/>
    </xf>
    <xf numFmtId="2" fontId="17" fillId="0" borderId="0" xfId="0" applyNumberFormat="1" applyFont="1" applyAlignment="1">
      <alignment horizontal="right"/>
    </xf>
    <xf numFmtId="6" fontId="19" fillId="0" borderId="1" xfId="0" applyNumberFormat="1" applyFont="1" applyBorder="1" applyAlignment="1">
      <alignment horizontal="right"/>
    </xf>
    <xf numFmtId="168" fontId="17" fillId="0" borderId="0" xfId="2" applyNumberFormat="1" applyFont="1" applyAlignment="1">
      <alignment horizontal="right"/>
    </xf>
    <xf numFmtId="0" fontId="4" fillId="3" borderId="0" xfId="0" applyFont="1" applyFill="1" applyBorder="1" applyAlignment="1">
      <alignment horizontal="center" wrapText="1"/>
    </xf>
    <xf numFmtId="0" fontId="4" fillId="3" borderId="6" xfId="0" applyFont="1" applyFill="1" applyBorder="1" applyAlignment="1">
      <alignment horizontal="center" wrapText="1"/>
    </xf>
    <xf numFmtId="10" fontId="26" fillId="0" borderId="40" xfId="1" applyNumberFormat="1" applyFont="1" applyBorder="1" applyAlignment="1">
      <alignment vertical="center"/>
    </xf>
    <xf numFmtId="168" fontId="2" fillId="0" borderId="45" xfId="2" applyNumberFormat="1" applyFont="1" applyBorder="1" applyAlignment="1">
      <alignment horizontal="right"/>
    </xf>
    <xf numFmtId="168" fontId="2" fillId="0" borderId="0" xfId="2" applyNumberFormat="1" applyFont="1" applyAlignment="1">
      <alignment horizontal="right"/>
    </xf>
    <xf numFmtId="9" fontId="10" fillId="0" borderId="45" xfId="1" applyFont="1" applyBorder="1" applyAlignment="1">
      <alignment horizontal="right"/>
    </xf>
    <xf numFmtId="9" fontId="10" fillId="0" borderId="0" xfId="1" applyFont="1" applyAlignment="1">
      <alignment horizontal="right"/>
    </xf>
    <xf numFmtId="9" fontId="18" fillId="0" borderId="0" xfId="1" applyFont="1" applyAlignment="1">
      <alignment horizontal="right"/>
    </xf>
    <xf numFmtId="9" fontId="18" fillId="0" borderId="0" xfId="0" applyNumberFormat="1" applyFont="1" applyAlignment="1">
      <alignment horizontal="right"/>
    </xf>
    <xf numFmtId="9" fontId="18" fillId="0" borderId="45" xfId="0" applyNumberFormat="1" applyFont="1" applyBorder="1" applyAlignment="1">
      <alignment horizontal="right"/>
    </xf>
    <xf numFmtId="0" fontId="2" fillId="0" borderId="45" xfId="0" applyFont="1" applyBorder="1" applyAlignment="1">
      <alignment horizontal="right"/>
    </xf>
    <xf numFmtId="9" fontId="2" fillId="0" borderId="0" xfId="0" applyNumberFormat="1" applyFont="1" applyAlignment="1">
      <alignment horizontal="right"/>
    </xf>
    <xf numFmtId="9" fontId="2" fillId="0" borderId="45" xfId="0" applyNumberFormat="1" applyFont="1" applyBorder="1" applyAlignment="1">
      <alignment horizontal="right"/>
    </xf>
    <xf numFmtId="168" fontId="17" fillId="0" borderId="45" xfId="2" applyNumberFormat="1" applyFont="1" applyFill="1" applyBorder="1" applyAlignment="1">
      <alignment horizontal="right"/>
    </xf>
    <xf numFmtId="168" fontId="17" fillId="0" borderId="0" xfId="2" applyNumberFormat="1" applyFont="1" applyFill="1" applyAlignment="1">
      <alignment horizontal="right"/>
    </xf>
    <xf numFmtId="168" fontId="19" fillId="0" borderId="44" xfId="2" applyNumberFormat="1" applyFont="1" applyFill="1" applyBorder="1" applyAlignment="1">
      <alignment horizontal="right"/>
    </xf>
    <xf numFmtId="168" fontId="19" fillId="0" borderId="1" xfId="2" applyNumberFormat="1" applyFont="1" applyFill="1" applyBorder="1" applyAlignment="1">
      <alignment horizontal="right"/>
    </xf>
    <xf numFmtId="0" fontId="26" fillId="0" borderId="45" xfId="0" applyFont="1" applyBorder="1" applyAlignment="1">
      <alignment horizontal="right"/>
    </xf>
    <xf numFmtId="43" fontId="26" fillId="0" borderId="0" xfId="2" applyFont="1" applyAlignment="1">
      <alignment horizontal="right"/>
    </xf>
    <xf numFmtId="43" fontId="26" fillId="0" borderId="45" xfId="2" applyFont="1" applyBorder="1" applyAlignment="1">
      <alignment horizontal="right"/>
    </xf>
    <xf numFmtId="164" fontId="26" fillId="0" borderId="45" xfId="0" applyNumberFormat="1" applyFont="1" applyBorder="1" applyAlignment="1">
      <alignment horizontal="right"/>
    </xf>
    <xf numFmtId="167" fontId="2" fillId="0" borderId="45" xfId="0" applyNumberFormat="1" applyFont="1" applyBorder="1" applyAlignment="1">
      <alignment horizontal="right"/>
    </xf>
    <xf numFmtId="168" fontId="10" fillId="0" borderId="0" xfId="2" applyNumberFormat="1" applyFont="1" applyAlignment="1">
      <alignment horizontal="right"/>
    </xf>
    <xf numFmtId="168" fontId="10" fillId="0" borderId="45" xfId="2" applyNumberFormat="1" applyFont="1" applyBorder="1" applyAlignment="1">
      <alignment horizontal="right"/>
    </xf>
    <xf numFmtId="0" fontId="2" fillId="3" borderId="1" xfId="0" applyFont="1" applyFill="1" applyBorder="1" applyAlignment="1">
      <alignment horizontal="right" vertical="center"/>
    </xf>
    <xf numFmtId="9" fontId="17" fillId="0" borderId="0" xfId="0" applyNumberFormat="1" applyFont="1" applyAlignment="1">
      <alignment horizontal="right" vertical="center"/>
    </xf>
    <xf numFmtId="166" fontId="17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66" fontId="2" fillId="0" borderId="0" xfId="0" applyNumberFormat="1" applyFont="1" applyAlignment="1">
      <alignment horizontal="right" vertical="center"/>
    </xf>
    <xf numFmtId="167" fontId="2" fillId="0" borderId="0" xfId="0" applyNumberFormat="1" applyFont="1" applyAlignment="1">
      <alignment horizontal="right" vertical="center"/>
    </xf>
    <xf numFmtId="167" fontId="4" fillId="0" borderId="5" xfId="0" applyNumberFormat="1" applyFont="1" applyFill="1" applyBorder="1" applyAlignment="1">
      <alignment horizontal="right" vertical="center"/>
    </xf>
    <xf numFmtId="167" fontId="4" fillId="3" borderId="40" xfId="0" applyNumberFormat="1" applyFont="1" applyFill="1" applyBorder="1" applyAlignment="1">
      <alignment horizontal="right" vertical="center"/>
    </xf>
    <xf numFmtId="185" fontId="4" fillId="3" borderId="40" xfId="0" applyNumberFormat="1" applyFont="1" applyFill="1" applyBorder="1" applyAlignment="1">
      <alignment horizontal="right" vertical="center"/>
    </xf>
    <xf numFmtId="184" fontId="4" fillId="0" borderId="0" xfId="0" applyNumberFormat="1" applyFont="1" applyFill="1" applyBorder="1" applyAlignment="1">
      <alignment horizontal="right" vertical="center"/>
    </xf>
    <xf numFmtId="10" fontId="26" fillId="0" borderId="40" xfId="1" applyNumberFormat="1" applyFont="1" applyBorder="1" applyAlignment="1">
      <alignment horizontal="right" vertical="center"/>
    </xf>
    <xf numFmtId="171" fontId="2" fillId="3" borderId="6" xfId="0" applyNumberFormat="1" applyFont="1" applyFill="1" applyBorder="1"/>
    <xf numFmtId="171" fontId="2" fillId="3" borderId="37" xfId="0" applyNumberFormat="1" applyFont="1" applyFill="1" applyBorder="1"/>
    <xf numFmtId="0" fontId="37" fillId="0" borderId="0" xfId="3" applyFont="1"/>
    <xf numFmtId="167" fontId="4" fillId="0" borderId="5" xfId="2" applyNumberFormat="1" applyFont="1" applyBorder="1"/>
    <xf numFmtId="0" fontId="4" fillId="9" borderId="0" xfId="0" applyFont="1" applyFill="1"/>
    <xf numFmtId="167" fontId="4" fillId="0" borderId="5" xfId="0" applyNumberFormat="1" applyFont="1" applyBorder="1"/>
    <xf numFmtId="167" fontId="7" fillId="0" borderId="0" xfId="0" applyNumberFormat="1" applyFont="1"/>
    <xf numFmtId="167" fontId="38" fillId="0" borderId="0" xfId="0" applyNumberFormat="1" applyFont="1"/>
    <xf numFmtId="0" fontId="22" fillId="0" borderId="0" xfId="0" applyFont="1"/>
    <xf numFmtId="181" fontId="4" fillId="0" borderId="0" xfId="2" applyNumberFormat="1" applyFont="1"/>
    <xf numFmtId="195" fontId="7" fillId="0" borderId="0" xfId="0" applyNumberFormat="1" applyFont="1"/>
    <xf numFmtId="187" fontId="4" fillId="0" borderId="5" xfId="0" applyNumberFormat="1" applyFont="1" applyBorder="1"/>
    <xf numFmtId="0" fontId="2" fillId="5" borderId="27" xfId="0" applyFont="1" applyFill="1" applyBorder="1"/>
    <xf numFmtId="0" fontId="2" fillId="5" borderId="5" xfId="0" applyFont="1" applyFill="1" applyBorder="1"/>
    <xf numFmtId="0" fontId="10" fillId="5" borderId="36" xfId="0" applyFont="1" applyFill="1" applyBorder="1"/>
    <xf numFmtId="0" fontId="10" fillId="5" borderId="6" xfId="0" applyFont="1" applyFill="1" applyBorder="1"/>
    <xf numFmtId="9" fontId="10" fillId="5" borderId="6" xfId="1" applyFont="1" applyFill="1" applyBorder="1"/>
    <xf numFmtId="9" fontId="10" fillId="5" borderId="37" xfId="1" applyFont="1" applyFill="1" applyBorder="1"/>
    <xf numFmtId="3" fontId="7" fillId="0" borderId="0" xfId="0" applyNumberFormat="1" applyFont="1"/>
    <xf numFmtId="187" fontId="2" fillId="5" borderId="5" xfId="0" applyNumberFormat="1" applyFont="1" applyFill="1" applyBorder="1"/>
    <xf numFmtId="187" fontId="2" fillId="5" borderId="34" xfId="0" applyNumberFormat="1" applyFont="1" applyFill="1" applyBorder="1"/>
    <xf numFmtId="0" fontId="26" fillId="6" borderId="47" xfId="0" applyFont="1" applyFill="1" applyBorder="1" applyAlignment="1">
      <alignment horizontal="right"/>
    </xf>
    <xf numFmtId="0" fontId="4" fillId="9" borderId="35" xfId="0" applyFont="1" applyFill="1" applyBorder="1"/>
    <xf numFmtId="167" fontId="38" fillId="0" borderId="35" xfId="0" applyNumberFormat="1" applyFont="1" applyBorder="1"/>
    <xf numFmtId="167" fontId="2" fillId="0" borderId="35" xfId="0" applyNumberFormat="1" applyFont="1" applyBorder="1"/>
    <xf numFmtId="9" fontId="7" fillId="0" borderId="35" xfId="0" applyNumberFormat="1" applyFont="1" applyBorder="1"/>
    <xf numFmtId="166" fontId="7" fillId="0" borderId="35" xfId="0" applyNumberFormat="1" applyFont="1" applyBorder="1"/>
    <xf numFmtId="167" fontId="4" fillId="0" borderId="34" xfId="2" applyNumberFormat="1" applyFont="1" applyBorder="1"/>
    <xf numFmtId="0" fontId="22" fillId="0" borderId="35" xfId="0" applyFont="1" applyBorder="1"/>
    <xf numFmtId="181" fontId="4" fillId="0" borderId="35" xfId="2" applyNumberFormat="1" applyFont="1" applyBorder="1"/>
    <xf numFmtId="195" fontId="7" fillId="0" borderId="35" xfId="0" applyNumberFormat="1" applyFont="1" applyBorder="1"/>
    <xf numFmtId="187" fontId="4" fillId="0" borderId="34" xfId="0" applyNumberFormat="1" applyFont="1" applyBorder="1"/>
    <xf numFmtId="9" fontId="7" fillId="0" borderId="35" xfId="1" applyFont="1" applyBorder="1"/>
    <xf numFmtId="3" fontId="7" fillId="0" borderId="35" xfId="0" applyNumberFormat="1" applyFont="1" applyBorder="1"/>
    <xf numFmtId="0" fontId="4" fillId="0" borderId="5" xfId="0" applyFont="1" applyBorder="1" applyAlignment="1">
      <alignment horizontal="left" indent="1"/>
    </xf>
    <xf numFmtId="0" fontId="2" fillId="0" borderId="0" xfId="0" applyFont="1" applyAlignment="1">
      <alignment horizontal="left" indent="2"/>
    </xf>
    <xf numFmtId="182" fontId="4" fillId="7" borderId="41" xfId="0" applyNumberFormat="1" applyFont="1" applyFill="1" applyBorder="1" applyAlignment="1">
      <alignment horizontal="right"/>
    </xf>
    <xf numFmtId="183" fontId="4" fillId="7" borderId="11" xfId="0" applyNumberFormat="1" applyFont="1" applyFill="1" applyBorder="1" applyAlignment="1">
      <alignment horizontal="right"/>
    </xf>
    <xf numFmtId="183" fontId="4" fillId="7" borderId="41" xfId="0" applyNumberFormat="1" applyFont="1" applyFill="1" applyBorder="1" applyAlignment="1">
      <alignment horizontal="right"/>
    </xf>
    <xf numFmtId="183" fontId="4" fillId="7" borderId="14" xfId="0" applyNumberFormat="1" applyFont="1" applyFill="1" applyBorder="1" applyAlignment="1">
      <alignment horizontal="right"/>
    </xf>
    <xf numFmtId="9" fontId="4" fillId="3" borderId="0" xfId="1" applyFont="1" applyFill="1"/>
    <xf numFmtId="187" fontId="22" fillId="0" borderId="34" xfId="0" applyNumberFormat="1" applyFont="1" applyBorder="1"/>
    <xf numFmtId="185" fontId="2" fillId="0" borderId="0" xfId="0" applyNumberFormat="1" applyFont="1"/>
    <xf numFmtId="166" fontId="17" fillId="0" borderId="45" xfId="1" applyNumberFormat="1" applyFont="1" applyBorder="1"/>
    <xf numFmtId="166" fontId="18" fillId="0" borderId="45" xfId="1" applyNumberFormat="1" applyFont="1" applyBorder="1"/>
    <xf numFmtId="0" fontId="2" fillId="0" borderId="5" xfId="0" applyFont="1" applyFill="1" applyBorder="1"/>
    <xf numFmtId="0" fontId="2" fillId="0" borderId="34" xfId="0" applyFont="1" applyFill="1" applyBorder="1"/>
    <xf numFmtId="168" fontId="2" fillId="0" borderId="5" xfId="2" applyNumberFormat="1" applyFont="1" applyFill="1" applyBorder="1"/>
    <xf numFmtId="168" fontId="2" fillId="0" borderId="34" xfId="2" applyNumberFormat="1" applyFont="1" applyFill="1" applyBorder="1"/>
    <xf numFmtId="181" fontId="4" fillId="0" borderId="0" xfId="0" applyNumberFormat="1" applyFont="1"/>
    <xf numFmtId="181" fontId="4" fillId="0" borderId="35" xfId="0" applyNumberFormat="1" applyFont="1" applyBorder="1"/>
    <xf numFmtId="168" fontId="17" fillId="0" borderId="35" xfId="2" applyNumberFormat="1" applyFont="1" applyBorder="1"/>
    <xf numFmtId="168" fontId="19" fillId="5" borderId="34" xfId="2" applyNumberFormat="1" applyFont="1" applyFill="1" applyBorder="1"/>
    <xf numFmtId="168" fontId="19" fillId="5" borderId="5" xfId="2" applyNumberFormat="1" applyFont="1" applyFill="1" applyBorder="1"/>
  </cellXfs>
  <cellStyles count="4">
    <cellStyle name="Comma" xfId="2" builtinId="3"/>
    <cellStyle name="Hyperlink" xfId="3" builtinId="8"/>
    <cellStyle name="Normal" xfId="0" builtinId="0"/>
    <cellStyle name="Percent" xfId="1" builtinId="5"/>
  </cellStyles>
  <dxfs count="2"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F0F3FA"/>
      <color rgb="FFFFFFCC"/>
      <color rgb="FF0000FF"/>
      <color rgb="FF014B80"/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'TAM Builds'!$C$34</c:f>
              <c:strCache>
                <c:ptCount val="1"/>
                <c:pt idx="0">
                  <c:v>US Solar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5="http://schemas.microsoft.com/office/drawing/2012/chart" uri="{02D57815-91ED-43cb-92C2-25804820EDAC}">
                  <c15:fullRef>
                    <c15:sqref>('TAM Builds'!$H$2,'TAM Builds'!$M$2:$W$2)</c15:sqref>
                  </c15:fullRef>
                </c:ext>
              </c:extLst>
              <c:f>('TAM Builds'!$H$2,'TAM Builds'!$M$2:$T$2)</c:f>
              <c:numCache>
                <c:formatCode>0"E"</c:formatCode>
                <c:ptCount val="3"/>
                <c:pt idx="0" formatCode="0&quot;A&quot;">
                  <c:v>2021</c:v>
                </c:pt>
                <c:pt idx="1">
                  <c:v>2025</c:v>
                </c:pt>
                <c:pt idx="2">
                  <c:v>2030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'TAM Builds'!$D$34:$W$34</c15:sqref>
                  </c15:fullRef>
                </c:ext>
              </c:extLst>
              <c:f>('TAM Builds'!$D$34:$L$34,'TAM Builds'!$P$34,'TAM Builds'!$U$34)</c:f>
              <c:numCache>
                <c:formatCode>0%</c:formatCode>
                <c:ptCount val="3"/>
                <c:pt idx="0">
                  <c:v>1</c:v>
                </c:pt>
                <c:pt idx="1">
                  <c:v>0.69742760377470325</c:v>
                </c:pt>
                <c:pt idx="2">
                  <c:v>0.54776334033962804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C0-41D4-850F-8A426FB431B5}"/>
            </c:ext>
          </c:extLst>
        </c:ser>
        <c:ser>
          <c:idx val="1"/>
          <c:order val="1"/>
          <c:tx>
            <c:strRef>
              <c:f>'TAM Builds'!$C$35</c:f>
              <c:strCache>
                <c:ptCount val="1"/>
                <c:pt idx="0">
                  <c:v>RoW Solar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AC0-41D4-850F-8A426FB431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0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5="http://schemas.microsoft.com/office/drawing/2012/chart" uri="{02D57815-91ED-43cb-92C2-25804820EDAC}">
                  <c15:fullRef>
                    <c15:sqref>('TAM Builds'!$H$2,'TAM Builds'!$M$2:$W$2)</c15:sqref>
                  </c15:fullRef>
                </c:ext>
              </c:extLst>
              <c:f>('TAM Builds'!$H$2,'TAM Builds'!$M$2:$T$2)</c:f>
              <c:numCache>
                <c:formatCode>0"E"</c:formatCode>
                <c:ptCount val="3"/>
                <c:pt idx="0" formatCode="0&quot;A&quot;">
                  <c:v>2021</c:v>
                </c:pt>
                <c:pt idx="1">
                  <c:v>2025</c:v>
                </c:pt>
                <c:pt idx="2">
                  <c:v>2030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'TAM Builds'!$D$35:$W$35</c15:sqref>
                  </c15:fullRef>
                </c:ext>
              </c:extLst>
              <c:f>('TAM Builds'!$D$35:$L$35,'TAM Builds'!$P$35,'TAM Builds'!$U$35)</c:f>
              <c:numCache>
                <c:formatCode>0%</c:formatCode>
                <c:ptCount val="3"/>
                <c:pt idx="0">
                  <c:v>0</c:v>
                </c:pt>
                <c:pt idx="1">
                  <c:v>0.2324758679249011</c:v>
                </c:pt>
                <c:pt idx="2">
                  <c:v>0.36517556022641878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AC0-41D4-850F-8A426FB431B5}"/>
            </c:ext>
          </c:extLst>
        </c:ser>
        <c:ser>
          <c:idx val="2"/>
          <c:order val="2"/>
          <c:tx>
            <c:strRef>
              <c:f>'TAM Builds'!$C$36</c:f>
              <c:strCache>
                <c:ptCount val="1"/>
                <c:pt idx="0">
                  <c:v>Storage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AC0-41D4-850F-8A426FB431B5}"/>
                </c:ext>
              </c:extLst>
            </c:dLbl>
            <c:dLbl>
              <c:idx val="1"/>
              <c:layout>
                <c:manualLayout>
                  <c:x val="-6.9490078792473202E-17"/>
                  <c:y val="1.545805754292349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AC0-41D4-850F-8A426FB431B5}"/>
                </c:ext>
              </c:extLst>
            </c:dLbl>
            <c:dLbl>
              <c:idx val="2"/>
              <c:layout>
                <c:manualLayout>
                  <c:x val="1.8952058603943611E-3"/>
                  <c:y val="7.7290287714617484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AC0-41D4-850F-8A426FB431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0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5="http://schemas.microsoft.com/office/drawing/2012/chart" uri="{02D57815-91ED-43cb-92C2-25804820EDAC}">
                  <c15:fullRef>
                    <c15:sqref>('TAM Builds'!$H$2,'TAM Builds'!$M$2:$W$2)</c15:sqref>
                  </c15:fullRef>
                </c:ext>
              </c:extLst>
              <c:f>('TAM Builds'!$H$2,'TAM Builds'!$M$2:$T$2)</c:f>
              <c:numCache>
                <c:formatCode>0"E"</c:formatCode>
                <c:ptCount val="3"/>
                <c:pt idx="0" formatCode="0&quot;A&quot;">
                  <c:v>2021</c:v>
                </c:pt>
                <c:pt idx="1">
                  <c:v>2025</c:v>
                </c:pt>
                <c:pt idx="2">
                  <c:v>2030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'TAM Builds'!$D$36:$W$36</c15:sqref>
                  </c15:fullRef>
                </c:ext>
              </c:extLst>
              <c:f>('TAM Builds'!$D$36:$L$36,'TAM Builds'!$P$36,'TAM Builds'!$U$36)</c:f>
              <c:numCache>
                <c:formatCode>0%</c:formatCode>
                <c:ptCount val="3"/>
                <c:pt idx="0">
                  <c:v>0</c:v>
                </c:pt>
                <c:pt idx="1">
                  <c:v>4.2449809223157213E-2</c:v>
                </c:pt>
                <c:pt idx="2">
                  <c:v>5.2723396598070425E-2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AC0-41D4-850F-8A426FB431B5}"/>
            </c:ext>
          </c:extLst>
        </c:ser>
        <c:ser>
          <c:idx val="3"/>
          <c:order val="3"/>
          <c:tx>
            <c:strRef>
              <c:f>'TAM Builds'!$C$37</c:f>
              <c:strCache>
                <c:ptCount val="1"/>
                <c:pt idx="0">
                  <c:v>EV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AC0-41D4-850F-8A426FB431B5}"/>
                </c:ext>
              </c:extLst>
            </c:dLbl>
            <c:dLbl>
              <c:idx val="1"/>
              <c:layout>
                <c:manualLayout>
                  <c:x val="-6.9490078792473202E-17"/>
                  <c:y val="5.1526858476411653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AC0-41D4-850F-8A426FB431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0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5="http://schemas.microsoft.com/office/drawing/2012/chart" uri="{02D57815-91ED-43cb-92C2-25804820EDAC}">
                  <c15:fullRef>
                    <c15:sqref>('TAM Builds'!$H$2,'TAM Builds'!$M$2:$W$2)</c15:sqref>
                  </c15:fullRef>
                </c:ext>
              </c:extLst>
              <c:f>('TAM Builds'!$H$2,'TAM Builds'!$M$2:$T$2)</c:f>
              <c:numCache>
                <c:formatCode>0"E"</c:formatCode>
                <c:ptCount val="3"/>
                <c:pt idx="0" formatCode="0&quot;A&quot;">
                  <c:v>2021</c:v>
                </c:pt>
                <c:pt idx="1">
                  <c:v>2025</c:v>
                </c:pt>
                <c:pt idx="2">
                  <c:v>2030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'TAM Builds'!$D$37:$W$37</c15:sqref>
                  </c15:fullRef>
                </c:ext>
              </c:extLst>
              <c:f>('TAM Builds'!$D$37:$L$37,'TAM Builds'!$P$37,'TAM Builds'!$U$37)</c:f>
              <c:numCache>
                <c:formatCode>0%</c:formatCode>
                <c:ptCount val="3"/>
                <c:pt idx="0">
                  <c:v>0</c:v>
                </c:pt>
                <c:pt idx="1">
                  <c:v>2.7646719077238386E-2</c:v>
                </c:pt>
                <c:pt idx="2">
                  <c:v>3.4337702835882562E-2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AC0-41D4-850F-8A426FB431B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798051599"/>
        <c:axId val="798052431"/>
      </c:barChart>
      <c:catAx>
        <c:axId val="798051599"/>
        <c:scaling>
          <c:orientation val="minMax"/>
        </c:scaling>
        <c:delete val="0"/>
        <c:axPos val="b"/>
        <c:numFmt formatCode="0&quot;A&quot;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98052431"/>
        <c:crosses val="autoZero"/>
        <c:auto val="1"/>
        <c:lblAlgn val="ctr"/>
        <c:lblOffset val="100"/>
        <c:noMultiLvlLbl val="0"/>
      </c:catAx>
      <c:valAx>
        <c:axId val="798052431"/>
        <c:scaling>
          <c:orientation val="minMax"/>
          <c:max val="1"/>
        </c:scaling>
        <c:delete val="0"/>
        <c:axPos val="l"/>
        <c:numFmt formatCode="0%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98051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6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'Price Volume Chart (SHLS)'!$D$4</c:f>
              <c:strCache>
                <c:ptCount val="1"/>
                <c:pt idx="0">
                  <c:v>Volume (thousands)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</c:spPr>
          <c:invertIfNegative val="0"/>
          <c:val>
            <c:numRef>
              <c:f>'Price Volume Chart (SHLS)'!$D$5:$D$97</c:f>
              <c:numCache>
                <c:formatCode>_(* #,##0_);_(* \(#,##0\);_(* "-"??_);_(@_)</c:formatCode>
                <c:ptCount val="93"/>
                <c:pt idx="0">
                  <c:v>1548</c:v>
                </c:pt>
                <c:pt idx="1">
                  <c:v>1548</c:v>
                </c:pt>
                <c:pt idx="2">
                  <c:v>3340</c:v>
                </c:pt>
                <c:pt idx="3">
                  <c:v>1195</c:v>
                </c:pt>
                <c:pt idx="4">
                  <c:v>878</c:v>
                </c:pt>
                <c:pt idx="5">
                  <c:v>1666</c:v>
                </c:pt>
                <c:pt idx="6">
                  <c:v>2855</c:v>
                </c:pt>
                <c:pt idx="7">
                  <c:v>3411</c:v>
                </c:pt>
                <c:pt idx="8">
                  <c:v>2024</c:v>
                </c:pt>
                <c:pt idx="9">
                  <c:v>1132</c:v>
                </c:pt>
                <c:pt idx="10">
                  <c:v>1062</c:v>
                </c:pt>
                <c:pt idx="11">
                  <c:v>1873</c:v>
                </c:pt>
                <c:pt idx="12">
                  <c:v>1665</c:v>
                </c:pt>
                <c:pt idx="13">
                  <c:v>2590</c:v>
                </c:pt>
                <c:pt idx="14">
                  <c:v>2549</c:v>
                </c:pt>
                <c:pt idx="15">
                  <c:v>1625</c:v>
                </c:pt>
                <c:pt idx="16">
                  <c:v>3199</c:v>
                </c:pt>
                <c:pt idx="17">
                  <c:v>1786</c:v>
                </c:pt>
                <c:pt idx="18">
                  <c:v>1675</c:v>
                </c:pt>
                <c:pt idx="19">
                  <c:v>14343</c:v>
                </c:pt>
                <c:pt idx="20">
                  <c:v>4278</c:v>
                </c:pt>
                <c:pt idx="21">
                  <c:v>2386</c:v>
                </c:pt>
                <c:pt idx="22">
                  <c:v>1667</c:v>
                </c:pt>
                <c:pt idx="23">
                  <c:v>3641</c:v>
                </c:pt>
                <c:pt idx="24">
                  <c:v>1459</c:v>
                </c:pt>
                <c:pt idx="25">
                  <c:v>4013</c:v>
                </c:pt>
                <c:pt idx="26">
                  <c:v>2305</c:v>
                </c:pt>
                <c:pt idx="27">
                  <c:v>2005</c:v>
                </c:pt>
                <c:pt idx="28">
                  <c:v>5845</c:v>
                </c:pt>
                <c:pt idx="29">
                  <c:v>1651</c:v>
                </c:pt>
                <c:pt idx="30">
                  <c:v>3771</c:v>
                </c:pt>
                <c:pt idx="31">
                  <c:v>2080</c:v>
                </c:pt>
                <c:pt idx="32">
                  <c:v>2715</c:v>
                </c:pt>
                <c:pt idx="33">
                  <c:v>4246</c:v>
                </c:pt>
                <c:pt idx="34">
                  <c:v>5725</c:v>
                </c:pt>
                <c:pt idx="35">
                  <c:v>1442</c:v>
                </c:pt>
                <c:pt idx="36">
                  <c:v>2522</c:v>
                </c:pt>
                <c:pt idx="37">
                  <c:v>1788</c:v>
                </c:pt>
                <c:pt idx="38">
                  <c:v>1829</c:v>
                </c:pt>
                <c:pt idx="39">
                  <c:v>1125</c:v>
                </c:pt>
                <c:pt idx="40">
                  <c:v>3112</c:v>
                </c:pt>
                <c:pt idx="41">
                  <c:v>3237</c:v>
                </c:pt>
                <c:pt idx="42">
                  <c:v>1005</c:v>
                </c:pt>
                <c:pt idx="43">
                  <c:v>1576</c:v>
                </c:pt>
                <c:pt idx="44">
                  <c:v>801</c:v>
                </c:pt>
                <c:pt idx="45">
                  <c:v>859</c:v>
                </c:pt>
                <c:pt idx="46">
                  <c:v>3000</c:v>
                </c:pt>
                <c:pt idx="47">
                  <c:v>1068</c:v>
                </c:pt>
                <c:pt idx="48">
                  <c:v>1193</c:v>
                </c:pt>
                <c:pt idx="49">
                  <c:v>426</c:v>
                </c:pt>
                <c:pt idx="50">
                  <c:v>968</c:v>
                </c:pt>
                <c:pt idx="51">
                  <c:v>2040</c:v>
                </c:pt>
                <c:pt idx="52">
                  <c:v>801</c:v>
                </c:pt>
                <c:pt idx="53">
                  <c:v>1608</c:v>
                </c:pt>
                <c:pt idx="54">
                  <c:v>1545</c:v>
                </c:pt>
                <c:pt idx="55">
                  <c:v>3139</c:v>
                </c:pt>
                <c:pt idx="56">
                  <c:v>677</c:v>
                </c:pt>
                <c:pt idx="57">
                  <c:v>1115</c:v>
                </c:pt>
                <c:pt idx="58">
                  <c:v>1045</c:v>
                </c:pt>
                <c:pt idx="59">
                  <c:v>4132</c:v>
                </c:pt>
                <c:pt idx="60">
                  <c:v>854</c:v>
                </c:pt>
                <c:pt idx="61">
                  <c:v>392</c:v>
                </c:pt>
                <c:pt idx="62">
                  <c:v>476</c:v>
                </c:pt>
                <c:pt idx="63">
                  <c:v>947</c:v>
                </c:pt>
                <c:pt idx="64">
                  <c:v>777</c:v>
                </c:pt>
                <c:pt idx="65">
                  <c:v>1469</c:v>
                </c:pt>
                <c:pt idx="66">
                  <c:v>935</c:v>
                </c:pt>
                <c:pt idx="67">
                  <c:v>872</c:v>
                </c:pt>
                <c:pt idx="68">
                  <c:v>3864</c:v>
                </c:pt>
                <c:pt idx="69">
                  <c:v>1098</c:v>
                </c:pt>
                <c:pt idx="70">
                  <c:v>625</c:v>
                </c:pt>
                <c:pt idx="71">
                  <c:v>1543</c:v>
                </c:pt>
                <c:pt idx="72">
                  <c:v>6216</c:v>
                </c:pt>
                <c:pt idx="73">
                  <c:v>1214</c:v>
                </c:pt>
                <c:pt idx="74">
                  <c:v>861</c:v>
                </c:pt>
                <c:pt idx="75">
                  <c:v>890</c:v>
                </c:pt>
                <c:pt idx="76">
                  <c:v>2110</c:v>
                </c:pt>
                <c:pt idx="77">
                  <c:v>1801</c:v>
                </c:pt>
                <c:pt idx="78">
                  <c:v>776</c:v>
                </c:pt>
                <c:pt idx="79">
                  <c:v>883</c:v>
                </c:pt>
                <c:pt idx="80">
                  <c:v>776</c:v>
                </c:pt>
                <c:pt idx="81">
                  <c:v>3940</c:v>
                </c:pt>
                <c:pt idx="82">
                  <c:v>1702</c:v>
                </c:pt>
                <c:pt idx="83">
                  <c:v>1218</c:v>
                </c:pt>
                <c:pt idx="84">
                  <c:v>913</c:v>
                </c:pt>
                <c:pt idx="85">
                  <c:v>7577</c:v>
                </c:pt>
                <c:pt idx="86">
                  <c:v>1011</c:v>
                </c:pt>
                <c:pt idx="87">
                  <c:v>1461</c:v>
                </c:pt>
                <c:pt idx="88">
                  <c:v>1481</c:v>
                </c:pt>
                <c:pt idx="89">
                  <c:v>1782</c:v>
                </c:pt>
                <c:pt idx="90">
                  <c:v>552</c:v>
                </c:pt>
                <c:pt idx="91">
                  <c:v>1344</c:v>
                </c:pt>
                <c:pt idx="92">
                  <c:v>4688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4C7-4B6F-8FDF-AE7B6DA080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062461808"/>
        <c:axId val="2062460976"/>
      </c:barChart>
      <c:lineChart>
        <c:grouping val="standard"/>
        <c:varyColors val="0"/>
        <c:ser>
          <c:idx val="0"/>
          <c:order val="0"/>
          <c:tx>
            <c:strRef>
              <c:f>'Price Volume Chart (SHLS)'!$C$4</c:f>
              <c:strCache>
                <c:ptCount val="1"/>
                <c:pt idx="0">
                  <c:v>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91"/>
              <c:layout>
                <c:manualLayout>
                  <c:x val="-4.587885721811133E-2"/>
                  <c:y val="-3.3789938895589997E-2"/>
                </c:manualLayout>
              </c:layout>
              <c:numFmt formatCode="&quot;$&quot;0.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accent1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4C7-4B6F-8FDF-AE7B6DA0808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'Price Volume Chart (SHLS)'!$B$5:$B$97</c:f>
              <c:numCache>
                <c:formatCode>m/d/yyyy</c:formatCode>
                <c:ptCount val="93"/>
                <c:pt idx="0">
                  <c:v>44862</c:v>
                </c:pt>
                <c:pt idx="1">
                  <c:v>44862</c:v>
                </c:pt>
                <c:pt idx="2">
                  <c:v>44855</c:v>
                </c:pt>
                <c:pt idx="3">
                  <c:v>44848</c:v>
                </c:pt>
                <c:pt idx="4">
                  <c:v>44841</c:v>
                </c:pt>
                <c:pt idx="5">
                  <c:v>44834</c:v>
                </c:pt>
                <c:pt idx="6">
                  <c:v>44827</c:v>
                </c:pt>
                <c:pt idx="7">
                  <c:v>44820</c:v>
                </c:pt>
                <c:pt idx="8">
                  <c:v>44813</c:v>
                </c:pt>
                <c:pt idx="9">
                  <c:v>44806</c:v>
                </c:pt>
                <c:pt idx="10">
                  <c:v>44799</c:v>
                </c:pt>
                <c:pt idx="11">
                  <c:v>44792</c:v>
                </c:pt>
                <c:pt idx="12">
                  <c:v>44785</c:v>
                </c:pt>
                <c:pt idx="13">
                  <c:v>44778</c:v>
                </c:pt>
                <c:pt idx="14">
                  <c:v>44771</c:v>
                </c:pt>
                <c:pt idx="15">
                  <c:v>44764</c:v>
                </c:pt>
                <c:pt idx="16">
                  <c:v>44757</c:v>
                </c:pt>
                <c:pt idx="17">
                  <c:v>44750</c:v>
                </c:pt>
                <c:pt idx="18">
                  <c:v>44743</c:v>
                </c:pt>
                <c:pt idx="19">
                  <c:v>44736</c:v>
                </c:pt>
                <c:pt idx="20">
                  <c:v>44729</c:v>
                </c:pt>
                <c:pt idx="21">
                  <c:v>44722</c:v>
                </c:pt>
                <c:pt idx="22">
                  <c:v>44715</c:v>
                </c:pt>
                <c:pt idx="23">
                  <c:v>44708</c:v>
                </c:pt>
                <c:pt idx="24">
                  <c:v>44701</c:v>
                </c:pt>
                <c:pt idx="25">
                  <c:v>44694</c:v>
                </c:pt>
                <c:pt idx="26">
                  <c:v>44687</c:v>
                </c:pt>
                <c:pt idx="27">
                  <c:v>44680</c:v>
                </c:pt>
                <c:pt idx="28">
                  <c:v>44673</c:v>
                </c:pt>
                <c:pt idx="29">
                  <c:v>44665</c:v>
                </c:pt>
                <c:pt idx="30">
                  <c:v>44659</c:v>
                </c:pt>
                <c:pt idx="31">
                  <c:v>44652</c:v>
                </c:pt>
                <c:pt idx="32">
                  <c:v>44645</c:v>
                </c:pt>
                <c:pt idx="33">
                  <c:v>44638</c:v>
                </c:pt>
                <c:pt idx="34">
                  <c:v>44631</c:v>
                </c:pt>
                <c:pt idx="35">
                  <c:v>44624</c:v>
                </c:pt>
                <c:pt idx="36">
                  <c:v>44617</c:v>
                </c:pt>
                <c:pt idx="37">
                  <c:v>44610</c:v>
                </c:pt>
                <c:pt idx="38">
                  <c:v>44603</c:v>
                </c:pt>
                <c:pt idx="39">
                  <c:v>44596</c:v>
                </c:pt>
                <c:pt idx="40">
                  <c:v>44589</c:v>
                </c:pt>
                <c:pt idx="41">
                  <c:v>44582</c:v>
                </c:pt>
                <c:pt idx="42">
                  <c:v>44575</c:v>
                </c:pt>
                <c:pt idx="43">
                  <c:v>44568</c:v>
                </c:pt>
                <c:pt idx="44">
                  <c:v>44561</c:v>
                </c:pt>
                <c:pt idx="45">
                  <c:v>44553</c:v>
                </c:pt>
                <c:pt idx="46">
                  <c:v>44547</c:v>
                </c:pt>
                <c:pt idx="47">
                  <c:v>44540</c:v>
                </c:pt>
                <c:pt idx="48">
                  <c:v>44533</c:v>
                </c:pt>
                <c:pt idx="49">
                  <c:v>44526</c:v>
                </c:pt>
                <c:pt idx="50">
                  <c:v>44519</c:v>
                </c:pt>
                <c:pt idx="51">
                  <c:v>44512</c:v>
                </c:pt>
                <c:pt idx="52">
                  <c:v>44505</c:v>
                </c:pt>
                <c:pt idx="53">
                  <c:v>44498</c:v>
                </c:pt>
                <c:pt idx="54">
                  <c:v>44491</c:v>
                </c:pt>
                <c:pt idx="55">
                  <c:v>44484</c:v>
                </c:pt>
                <c:pt idx="56">
                  <c:v>44477</c:v>
                </c:pt>
                <c:pt idx="57">
                  <c:v>44470</c:v>
                </c:pt>
                <c:pt idx="58">
                  <c:v>44463</c:v>
                </c:pt>
                <c:pt idx="59">
                  <c:v>44456</c:v>
                </c:pt>
                <c:pt idx="60">
                  <c:v>44449</c:v>
                </c:pt>
                <c:pt idx="61">
                  <c:v>44442</c:v>
                </c:pt>
                <c:pt idx="62">
                  <c:v>44435</c:v>
                </c:pt>
                <c:pt idx="63">
                  <c:v>44428</c:v>
                </c:pt>
                <c:pt idx="64">
                  <c:v>44421</c:v>
                </c:pt>
                <c:pt idx="65">
                  <c:v>44414</c:v>
                </c:pt>
                <c:pt idx="66">
                  <c:v>44407</c:v>
                </c:pt>
                <c:pt idx="67">
                  <c:v>44400</c:v>
                </c:pt>
                <c:pt idx="68">
                  <c:v>44393</c:v>
                </c:pt>
                <c:pt idx="69">
                  <c:v>44386</c:v>
                </c:pt>
                <c:pt idx="70">
                  <c:v>44379</c:v>
                </c:pt>
                <c:pt idx="71">
                  <c:v>44372</c:v>
                </c:pt>
                <c:pt idx="72">
                  <c:v>44365</c:v>
                </c:pt>
                <c:pt idx="73">
                  <c:v>44358</c:v>
                </c:pt>
                <c:pt idx="74">
                  <c:v>44351</c:v>
                </c:pt>
                <c:pt idx="75">
                  <c:v>44344</c:v>
                </c:pt>
                <c:pt idx="76">
                  <c:v>44337</c:v>
                </c:pt>
                <c:pt idx="77">
                  <c:v>44330</c:v>
                </c:pt>
                <c:pt idx="78">
                  <c:v>44323</c:v>
                </c:pt>
                <c:pt idx="79">
                  <c:v>44316</c:v>
                </c:pt>
                <c:pt idx="80">
                  <c:v>44309</c:v>
                </c:pt>
                <c:pt idx="81">
                  <c:v>44302</c:v>
                </c:pt>
                <c:pt idx="82">
                  <c:v>44295</c:v>
                </c:pt>
                <c:pt idx="83">
                  <c:v>44287</c:v>
                </c:pt>
                <c:pt idx="84">
                  <c:v>44281</c:v>
                </c:pt>
                <c:pt idx="85">
                  <c:v>44274</c:v>
                </c:pt>
                <c:pt idx="86">
                  <c:v>44267</c:v>
                </c:pt>
                <c:pt idx="87">
                  <c:v>44260</c:v>
                </c:pt>
                <c:pt idx="88">
                  <c:v>44253</c:v>
                </c:pt>
                <c:pt idx="89">
                  <c:v>44246</c:v>
                </c:pt>
                <c:pt idx="90">
                  <c:v>44239</c:v>
                </c:pt>
                <c:pt idx="91">
                  <c:v>44232</c:v>
                </c:pt>
                <c:pt idx="92">
                  <c:v>44225</c:v>
                </c:pt>
              </c:numCache>
            </c:numRef>
          </c:cat>
          <c:val>
            <c:numRef>
              <c:f>'Price Volume Chart (SHLS)'!$C$5:$C$97</c:f>
              <c:numCache>
                <c:formatCode>"$"#,##0_);[Red]\("$"#,##0\)</c:formatCode>
                <c:ptCount val="93"/>
                <c:pt idx="0">
                  <c:v>22.21</c:v>
                </c:pt>
                <c:pt idx="1">
                  <c:v>22.21</c:v>
                </c:pt>
                <c:pt idx="2">
                  <c:v>20.5</c:v>
                </c:pt>
                <c:pt idx="3">
                  <c:v>19.989999999999998</c:v>
                </c:pt>
                <c:pt idx="4">
                  <c:v>21.93</c:v>
                </c:pt>
                <c:pt idx="5">
                  <c:v>21.55</c:v>
                </c:pt>
                <c:pt idx="6">
                  <c:v>20.260000000000002</c:v>
                </c:pt>
                <c:pt idx="7">
                  <c:v>24.39</c:v>
                </c:pt>
                <c:pt idx="8">
                  <c:v>26.56</c:v>
                </c:pt>
                <c:pt idx="9">
                  <c:v>24.99</c:v>
                </c:pt>
                <c:pt idx="10">
                  <c:v>25.11</c:v>
                </c:pt>
                <c:pt idx="11">
                  <c:v>25.48</c:v>
                </c:pt>
                <c:pt idx="12">
                  <c:v>26.24</c:v>
                </c:pt>
                <c:pt idx="13">
                  <c:v>23.07</c:v>
                </c:pt>
                <c:pt idx="14">
                  <c:v>23.63</c:v>
                </c:pt>
                <c:pt idx="15">
                  <c:v>17.760000000000002</c:v>
                </c:pt>
                <c:pt idx="16">
                  <c:v>16.18</c:v>
                </c:pt>
                <c:pt idx="17">
                  <c:v>18.43</c:v>
                </c:pt>
                <c:pt idx="18">
                  <c:v>16.29</c:v>
                </c:pt>
                <c:pt idx="19">
                  <c:v>17.41</c:v>
                </c:pt>
                <c:pt idx="20">
                  <c:v>19.57</c:v>
                </c:pt>
                <c:pt idx="21">
                  <c:v>18.04</c:v>
                </c:pt>
                <c:pt idx="22">
                  <c:v>15.36</c:v>
                </c:pt>
                <c:pt idx="23">
                  <c:v>15.85</c:v>
                </c:pt>
                <c:pt idx="24">
                  <c:v>15.11</c:v>
                </c:pt>
                <c:pt idx="25">
                  <c:v>12.58</c:v>
                </c:pt>
                <c:pt idx="26">
                  <c:v>13.57</c:v>
                </c:pt>
                <c:pt idx="27">
                  <c:v>9.98</c:v>
                </c:pt>
                <c:pt idx="28">
                  <c:v>10.39</c:v>
                </c:pt>
                <c:pt idx="29">
                  <c:v>12.68</c:v>
                </c:pt>
                <c:pt idx="30">
                  <c:v>13.53</c:v>
                </c:pt>
                <c:pt idx="31">
                  <c:v>17.07</c:v>
                </c:pt>
                <c:pt idx="32">
                  <c:v>19.95</c:v>
                </c:pt>
                <c:pt idx="33">
                  <c:v>21.31</c:v>
                </c:pt>
                <c:pt idx="34">
                  <c:v>17.920000000000002</c:v>
                </c:pt>
                <c:pt idx="35">
                  <c:v>14.07</c:v>
                </c:pt>
                <c:pt idx="36">
                  <c:v>14.23</c:v>
                </c:pt>
                <c:pt idx="37">
                  <c:v>12.42</c:v>
                </c:pt>
                <c:pt idx="38">
                  <c:v>14</c:v>
                </c:pt>
                <c:pt idx="39">
                  <c:v>15.96</c:v>
                </c:pt>
                <c:pt idx="40">
                  <c:v>14.43</c:v>
                </c:pt>
                <c:pt idx="41">
                  <c:v>15.4</c:v>
                </c:pt>
                <c:pt idx="42">
                  <c:v>20.68</c:v>
                </c:pt>
                <c:pt idx="43">
                  <c:v>21.87</c:v>
                </c:pt>
                <c:pt idx="44">
                  <c:v>24.3</c:v>
                </c:pt>
                <c:pt idx="45">
                  <c:v>26.05</c:v>
                </c:pt>
                <c:pt idx="46">
                  <c:v>25.52</c:v>
                </c:pt>
                <c:pt idx="47">
                  <c:v>25.85</c:v>
                </c:pt>
                <c:pt idx="48">
                  <c:v>26.66</c:v>
                </c:pt>
                <c:pt idx="49">
                  <c:v>29.39</c:v>
                </c:pt>
                <c:pt idx="50">
                  <c:v>32.89</c:v>
                </c:pt>
                <c:pt idx="51">
                  <c:v>35.25</c:v>
                </c:pt>
                <c:pt idx="52">
                  <c:v>32.31</c:v>
                </c:pt>
                <c:pt idx="53">
                  <c:v>30.99</c:v>
                </c:pt>
                <c:pt idx="54">
                  <c:v>25.93</c:v>
                </c:pt>
                <c:pt idx="55">
                  <c:v>28.23</c:v>
                </c:pt>
                <c:pt idx="56">
                  <c:v>27.48</c:v>
                </c:pt>
                <c:pt idx="57">
                  <c:v>27.77</c:v>
                </c:pt>
                <c:pt idx="58">
                  <c:v>29.75</c:v>
                </c:pt>
                <c:pt idx="59">
                  <c:v>32.880000000000003</c:v>
                </c:pt>
                <c:pt idx="60">
                  <c:v>29.7</c:v>
                </c:pt>
                <c:pt idx="61">
                  <c:v>33.42</c:v>
                </c:pt>
                <c:pt idx="62">
                  <c:v>31.86</c:v>
                </c:pt>
                <c:pt idx="63">
                  <c:v>31.02</c:v>
                </c:pt>
                <c:pt idx="64">
                  <c:v>33.020000000000003</c:v>
                </c:pt>
                <c:pt idx="65">
                  <c:v>32.72</c:v>
                </c:pt>
                <c:pt idx="66">
                  <c:v>29.09</c:v>
                </c:pt>
                <c:pt idx="67">
                  <c:v>27.59</c:v>
                </c:pt>
                <c:pt idx="68">
                  <c:v>27.11</c:v>
                </c:pt>
                <c:pt idx="69">
                  <c:v>35.380000000000003</c:v>
                </c:pt>
                <c:pt idx="70">
                  <c:v>35.659999999999997</c:v>
                </c:pt>
                <c:pt idx="71">
                  <c:v>32.46</c:v>
                </c:pt>
                <c:pt idx="72">
                  <c:v>30.81</c:v>
                </c:pt>
                <c:pt idx="73">
                  <c:v>30.64</c:v>
                </c:pt>
                <c:pt idx="74">
                  <c:v>26.73</c:v>
                </c:pt>
                <c:pt idx="75">
                  <c:v>27.6</c:v>
                </c:pt>
                <c:pt idx="76">
                  <c:v>24.39</c:v>
                </c:pt>
                <c:pt idx="77">
                  <c:v>23.08</c:v>
                </c:pt>
                <c:pt idx="78">
                  <c:v>28.78</c:v>
                </c:pt>
                <c:pt idx="79">
                  <c:v>32.07</c:v>
                </c:pt>
                <c:pt idx="80">
                  <c:v>34.6</c:v>
                </c:pt>
                <c:pt idx="81">
                  <c:v>33.07</c:v>
                </c:pt>
                <c:pt idx="82">
                  <c:v>34.69</c:v>
                </c:pt>
                <c:pt idx="83">
                  <c:v>34.57</c:v>
                </c:pt>
                <c:pt idx="84">
                  <c:v>31.29</c:v>
                </c:pt>
                <c:pt idx="85">
                  <c:v>31.11</c:v>
                </c:pt>
                <c:pt idx="86">
                  <c:v>34.840000000000003</c:v>
                </c:pt>
                <c:pt idx="87">
                  <c:v>32.200000000000003</c:v>
                </c:pt>
                <c:pt idx="88">
                  <c:v>32.619999999999997</c:v>
                </c:pt>
                <c:pt idx="89">
                  <c:v>40.17</c:v>
                </c:pt>
                <c:pt idx="90">
                  <c:v>37.92</c:v>
                </c:pt>
                <c:pt idx="91">
                  <c:v>39.950000000000003</c:v>
                </c:pt>
                <c:pt idx="92">
                  <c:v>33.93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C7-4B6F-8FDF-AE7B6DA080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6843392"/>
        <c:axId val="2086845056"/>
      </c:lineChart>
      <c:dateAx>
        <c:axId val="2086843392"/>
        <c:scaling>
          <c:orientation val="minMax"/>
          <c:max val="44866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6845056"/>
        <c:crosses val="autoZero"/>
        <c:auto val="1"/>
        <c:lblOffset val="100"/>
        <c:baseTimeUnit val="days"/>
        <c:majorUnit val="3"/>
        <c:majorTimeUnit val="months"/>
      </c:dateAx>
      <c:valAx>
        <c:axId val="208684505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Share 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6843392"/>
        <c:crosses val="autoZero"/>
        <c:crossBetween val="between"/>
      </c:valAx>
      <c:valAx>
        <c:axId val="2062460976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Volume (Thousands)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62461808"/>
        <c:crosses val="max"/>
        <c:crossBetween val="between"/>
      </c:valAx>
      <c:catAx>
        <c:axId val="2062461808"/>
        <c:scaling>
          <c:orientation val="minMax"/>
        </c:scaling>
        <c:delete val="1"/>
        <c:axPos val="b"/>
        <c:majorTickMark val="out"/>
        <c:minorTickMark val="none"/>
        <c:tickLblPos val="nextTo"/>
        <c:crossAx val="206246097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'Broker Estimates'!$D$18</c:f>
              <c:strCache>
                <c:ptCount val="1"/>
                <c:pt idx="0">
                  <c:v>Target Price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899-4315-90AB-97CAD78A53F2}"/>
              </c:ext>
            </c:extLst>
          </c:dPt>
          <c:dPt>
            <c:idx val="3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2899-4315-90AB-97CAD78A53F2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899-4315-90AB-97CAD78A53F2}"/>
              </c:ext>
            </c:extLst>
          </c:dPt>
          <c:dPt>
            <c:idx val="5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2899-4315-90AB-97CAD78A53F2}"/>
              </c:ext>
            </c:extLst>
          </c:dPt>
          <c:dPt>
            <c:idx val="6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2899-4315-90AB-97CAD78A53F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'Broker Estimates'!$C$19:$C$25</c:f>
              <c:strCache>
                <c:ptCount val="7"/>
                <c:pt idx="0">
                  <c:v>Current</c:v>
                </c:pt>
                <c:pt idx="2">
                  <c:v>Truist Securities</c:v>
                </c:pt>
                <c:pt idx="3">
                  <c:v>Piper Sandler Companies</c:v>
                </c:pt>
                <c:pt idx="4">
                  <c:v>Roth Capital Partners</c:v>
                </c:pt>
                <c:pt idx="5">
                  <c:v>Cowen &amp; Company</c:v>
                </c:pt>
                <c:pt idx="6">
                  <c:v>Oppenheimer</c:v>
                </c:pt>
              </c:strCache>
            </c:strRef>
          </c:cat>
          <c:val>
            <c:numRef>
              <c:f>'Broker Estimates'!$D$19:$D$25</c:f>
              <c:numCache>
                <c:formatCode>General</c:formatCode>
                <c:ptCount val="7"/>
                <c:pt idx="0" formatCode="&quot;$&quot;#,##0.00_);[Red]\(&quot;$&quot;#,##0.00\)">
                  <c:v>22.21</c:v>
                </c:pt>
                <c:pt idx="2" formatCode="&quot;$&quot;#,##0.00_);[Red]\(&quot;$&quot;#,##0.00\)">
                  <c:v>30</c:v>
                </c:pt>
                <c:pt idx="3" formatCode="&quot;$&quot;#,##0.00_);[Red]\(&quot;$&quot;#,##0.00\)">
                  <c:v>28</c:v>
                </c:pt>
                <c:pt idx="4" formatCode="&quot;$&quot;#,##0.00_);[Red]\(&quot;$&quot;#,##0.00\)">
                  <c:v>40</c:v>
                </c:pt>
                <c:pt idx="5" formatCode="&quot;$&quot;#,##0.00_);[Red]\(&quot;$&quot;#,##0.00\)">
                  <c:v>37.5</c:v>
                </c:pt>
                <c:pt idx="6" formatCode="&quot;$&quot;#,##0.00_);[Red]\(&quot;$&quot;#,##0.00\)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99-4315-90AB-97CAD78A53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-27"/>
        <c:axId val="807139392"/>
        <c:axId val="807136480"/>
      </c:barChart>
      <c:catAx>
        <c:axId val="80713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07136480"/>
        <c:crosses val="autoZero"/>
        <c:auto val="1"/>
        <c:lblAlgn val="ctr"/>
        <c:lblOffset val="100"/>
        <c:noMultiLvlLbl val="0"/>
      </c:catAx>
      <c:valAx>
        <c:axId val="807136480"/>
        <c:scaling>
          <c:orientation val="minMax"/>
        </c:scaling>
        <c:delete val="1"/>
        <c:axPos val="l"/>
        <c:numFmt formatCode="&quot;$&quot;#,##0.00_);[Red]\(&quot;$&quot;#,##0.00\)" sourceLinked="1"/>
        <c:majorTickMark val="none"/>
        <c:minorTickMark val="none"/>
        <c:tickLblPos val="nextTo"/>
        <c:crossAx val="80713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0-1F60-43C7-8152-7DA473DFC41D}"/>
              </c:ext>
            </c:extLst>
          </c:dPt>
          <c:dPt>
            <c:idx val="3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1F60-43C7-8152-7DA473DFC41D}"/>
              </c:ext>
            </c:extLst>
          </c:dPt>
          <c:dPt>
            <c:idx val="4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1F60-43C7-8152-7DA473DFC41D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2-1F60-43C7-8152-7DA473DFC41D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1F60-43C7-8152-7DA473DFC41D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F60-43C7-8152-7DA473DFC41D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1F60-43C7-8152-7DA473DFC41D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4-1F60-43C7-8152-7DA473DFC41D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1F60-43C7-8152-7DA473DFC41D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6-1F60-43C7-8152-7DA473DFC41D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7-1F60-43C7-8152-7DA473DFC41D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8-1F60-43C7-8152-7DA473DFC41D}"/>
              </c:ext>
            </c:extLst>
          </c:dPt>
          <c:dPt>
            <c:idx val="17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9-1F60-43C7-8152-7DA473DFC41D}"/>
              </c:ext>
            </c:extLst>
          </c:dPt>
          <c:dPt>
            <c:idx val="18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8-1F60-43C7-8152-7DA473DFC41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'Comps Charts'!$E$8:$E$26</c:f>
              <c:strCache>
                <c:ptCount val="19"/>
                <c:pt idx="0">
                  <c:v>Shoals</c:v>
                </c:pt>
                <c:pt idx="2">
                  <c:v>Arctech</c:v>
                </c:pt>
                <c:pt idx="3">
                  <c:v>Array</c:v>
                </c:pt>
                <c:pt idx="4">
                  <c:v>Soltec</c:v>
                </c:pt>
                <c:pt idx="6">
                  <c:v>Enphase</c:v>
                </c:pt>
                <c:pt idx="7">
                  <c:v>Generac</c:v>
                </c:pt>
                <c:pt idx="8">
                  <c:v>SMA</c:v>
                </c:pt>
                <c:pt idx="9">
                  <c:v>SolarEdge</c:v>
                </c:pt>
                <c:pt idx="11">
                  <c:v>Canadian Solar</c:v>
                </c:pt>
                <c:pt idx="12">
                  <c:v>First Solar</c:v>
                </c:pt>
                <c:pt idx="13">
                  <c:v>JinkoSolar</c:v>
                </c:pt>
                <c:pt idx="14">
                  <c:v>Maxeon</c:v>
                </c:pt>
                <c:pt idx="16">
                  <c:v>Amphenol</c:v>
                </c:pt>
                <c:pt idx="17">
                  <c:v>Eaton</c:v>
                </c:pt>
                <c:pt idx="18">
                  <c:v>TE Connectivity</c:v>
                </c:pt>
              </c:strCache>
            </c:strRef>
          </c:cat>
          <c:val>
            <c:numRef>
              <c:f>'Comps Charts'!$F$8:$F$26</c:f>
              <c:numCache>
                <c:formatCode>General</c:formatCode>
                <c:ptCount val="19"/>
                <c:pt idx="0" formatCode="0.0\x">
                  <c:v>48.421788903253017</c:v>
                </c:pt>
                <c:pt idx="2" formatCode="0.0\x">
                  <c:v>81.410360000000011</c:v>
                </c:pt>
                <c:pt idx="3" formatCode="0.0\x">
                  <c:v>30.370366524083337</c:v>
                </c:pt>
                <c:pt idx="4" formatCode="0.0\x">
                  <c:v>26.690611111111107</c:v>
                </c:pt>
                <c:pt idx="6" formatCode="0.0\x">
                  <c:v>60.717658652614176</c:v>
                </c:pt>
                <c:pt idx="7" formatCode="0.0\x">
                  <c:v>9.6241685994481987</c:v>
                </c:pt>
                <c:pt idx="8" formatCode="0.0\x">
                  <c:v>28.254607142857147</c:v>
                </c:pt>
                <c:pt idx="9" formatCode="0.0\x">
                  <c:v>28.026309454104311</c:v>
                </c:pt>
                <c:pt idx="11" formatCode="0.0\x">
                  <c:v>6.8820181568984964</c:v>
                </c:pt>
                <c:pt idx="12" formatCode="0.0\x">
                  <c:v>42.168460316333331</c:v>
                </c:pt>
                <c:pt idx="13" formatCode="0.0\x">
                  <c:v>17.724492523364486</c:v>
                </c:pt>
                <c:pt idx="14" formatCode="0.0\x">
                  <c:v>-6.4299843421874989</c:v>
                </c:pt>
                <c:pt idx="16" formatCode="0.0\x">
                  <c:v>17.279307721140736</c:v>
                </c:pt>
                <c:pt idx="17" formatCode="0.0\x">
                  <c:v>16.602536585365854</c:v>
                </c:pt>
                <c:pt idx="18" formatCode="0.0\x">
                  <c:v>11.354435774789142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60-43C7-8152-7DA473DFC4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2"/>
        <c:axId val="551364992"/>
        <c:axId val="551366240"/>
      </c:barChart>
      <c:lineChart>
        <c:grouping val="standard"/>
        <c:varyColors val="0"/>
        <c:ser>
          <c:idx val="1"/>
          <c:order val="1"/>
          <c:tx>
            <c:strRef>
              <c:f>'Comps Charts'!$K$6</c:f>
              <c:strCache>
                <c:ptCount val="1"/>
                <c:pt idx="0">
                  <c:v>Mean</c:v>
                </c:pt>
              </c:strCache>
            </c:strRef>
          </c:tx>
          <c:spPr>
            <a:ln w="28575" cap="rnd">
              <a:solidFill>
                <a:srgbClr val="014B8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F60-43C7-8152-7DA473DFC41D}"/>
                </c:ext>
              </c:extLst>
            </c:dLbl>
            <c:dLbl>
              <c:idx val="4"/>
              <c:dLblPos val="t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F60-43C7-8152-7DA473DFC41D}"/>
                </c:ext>
              </c:extLst>
            </c:dLbl>
            <c:dLbl>
              <c:idx val="9"/>
              <c:dLblPos val="t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layout>
                    <c:manualLayout>
                      <c:w val="5.0885679277938842E-2"/>
                      <c:h val="6.0914794187311952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6-1F60-43C7-8152-7DA473DFC41D}"/>
                </c:ext>
              </c:extLst>
            </c:dLbl>
            <c:dLbl>
              <c:idx val="14"/>
              <c:dLblPos val="t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F60-43C7-8152-7DA473DFC41D}"/>
                </c:ext>
              </c:extLst>
            </c:dLbl>
            <c:dLbl>
              <c:idx val="18"/>
              <c:layout>
                <c:manualLayout>
                  <c:x val="-9.358755461042664E-3"/>
                  <c:y val="-3.6686831828948212E-2"/>
                </c:manualLayout>
              </c:layout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F60-43C7-8152-7DA473DFC41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1" i="0" u="none" strike="noStrike" kern="1200" baseline="0">
                    <a:solidFill>
                      <a:srgbClr val="014B8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'Comps Charts'!$K$8:$K$26</c:f>
              <c:numCache>
                <c:formatCode>General</c:formatCode>
                <c:ptCount val="19"/>
                <c:pt idx="2" formatCode="0.0\x">
                  <c:v>46.15711254506482</c:v>
                </c:pt>
                <c:pt idx="3" formatCode="0.0\x">
                  <c:v>46.15711254506482</c:v>
                </c:pt>
                <c:pt idx="4" formatCode="0.0\x">
                  <c:v>46.15711254506482</c:v>
                </c:pt>
                <c:pt idx="6" formatCode="0.0\x">
                  <c:v>31.655685962255955</c:v>
                </c:pt>
                <c:pt idx="7" formatCode="0.0\x">
                  <c:v>31.655685962255955</c:v>
                </c:pt>
                <c:pt idx="8" formatCode="0.0\x">
                  <c:v>31.655685962255955</c:v>
                </c:pt>
                <c:pt idx="9" formatCode="0.0\x">
                  <c:v>31.655685962255955</c:v>
                </c:pt>
                <c:pt idx="11" formatCode="0.0\x">
                  <c:v>15.086246663602203</c:v>
                </c:pt>
                <c:pt idx="12" formatCode="0.0\x">
                  <c:v>15.086246663602203</c:v>
                </c:pt>
                <c:pt idx="13" formatCode="0.0\x">
                  <c:v>15.086246663602203</c:v>
                </c:pt>
                <c:pt idx="14" formatCode="0.0\x">
                  <c:v>15.086246663602203</c:v>
                </c:pt>
                <c:pt idx="16" formatCode="0.0\x">
                  <c:v>15.078760027098577</c:v>
                </c:pt>
                <c:pt idx="17" formatCode="0.0\x">
                  <c:v>15.078760027098577</c:v>
                </c:pt>
                <c:pt idx="18" formatCode="0.0\x">
                  <c:v>15.078760027098577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F60-43C7-8152-7DA473DFC41D}"/>
            </c:ext>
          </c:extLst>
        </c:ser>
        <c:ser>
          <c:idx val="2"/>
          <c:order val="2"/>
          <c:tx>
            <c:strRef>
              <c:f>'Comps Charts'!$L$6</c:f>
              <c:strCache>
                <c:ptCount val="1"/>
                <c:pt idx="0">
                  <c:v>Median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Lbl>
              <c:idx val="4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F60-43C7-8152-7DA473DFC41D}"/>
                </c:ext>
              </c:extLst>
            </c:dLbl>
            <c:dLbl>
              <c:idx val="9"/>
              <c:layout>
                <c:manualLayout>
                  <c:x val="3.3025846235300573E-3"/>
                  <c:y val="-2.0325203252032596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F60-43C7-8152-7DA473DFC41D}"/>
                </c:ext>
              </c:extLst>
            </c:dLbl>
            <c:dLbl>
              <c:idx val="14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F60-43C7-8152-7DA473DFC41D}"/>
                </c:ext>
              </c:extLst>
            </c:dLbl>
            <c:dLbl>
              <c:idx val="18"/>
              <c:layout>
                <c:manualLayout>
                  <c:x val="0"/>
                  <c:y val="-6.910569105691057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F60-43C7-8152-7DA473DFC41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accent3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'Comps Charts'!$L$8:$L$26</c:f>
              <c:numCache>
                <c:formatCode>General</c:formatCode>
                <c:ptCount val="19"/>
                <c:pt idx="2" formatCode="0.0\x">
                  <c:v>30.370366524083337</c:v>
                </c:pt>
                <c:pt idx="3" formatCode="0.0\x">
                  <c:v>30.370366524083337</c:v>
                </c:pt>
                <c:pt idx="4" formatCode="0.0\x">
                  <c:v>30.370366524083337</c:v>
                </c:pt>
                <c:pt idx="6" formatCode="0.0\x">
                  <c:v>28.140458298480731</c:v>
                </c:pt>
                <c:pt idx="7" formatCode="0.0\x">
                  <c:v>28.140458298480731</c:v>
                </c:pt>
                <c:pt idx="8" formatCode="0.0\x">
                  <c:v>28.140458298480731</c:v>
                </c:pt>
                <c:pt idx="9" formatCode="0.0\x">
                  <c:v>28.140458298480731</c:v>
                </c:pt>
                <c:pt idx="11" formatCode="0.0\x">
                  <c:v>12.303255340131491</c:v>
                </c:pt>
                <c:pt idx="12" formatCode="0.0\x">
                  <c:v>12.303255340131491</c:v>
                </c:pt>
                <c:pt idx="13" formatCode="0.0\x">
                  <c:v>12.303255340131491</c:v>
                </c:pt>
                <c:pt idx="14" formatCode="0.0\x">
                  <c:v>12.303255340131491</c:v>
                </c:pt>
                <c:pt idx="16" formatCode="0.0\x">
                  <c:v>16.602536585365854</c:v>
                </c:pt>
                <c:pt idx="17" formatCode="0.0\x">
                  <c:v>16.602536585365854</c:v>
                </c:pt>
                <c:pt idx="18" formatCode="0.0\x">
                  <c:v>16.602536585365854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1F60-43C7-8152-7DA473DFC4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364992"/>
        <c:axId val="551366240"/>
      </c:lineChart>
      <c:catAx>
        <c:axId val="55136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366240"/>
        <c:crosses val="autoZero"/>
        <c:auto val="1"/>
        <c:lblAlgn val="ctr"/>
        <c:lblOffset val="100"/>
        <c:noMultiLvlLbl val="0"/>
      </c:catAx>
      <c:valAx>
        <c:axId val="551366240"/>
        <c:scaling>
          <c:orientation val="minMax"/>
        </c:scaling>
        <c:delete val="0"/>
        <c:axPos val="l"/>
        <c:numFmt formatCode="0.0\x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364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C-6750-49C8-930C-46704B9F3684}"/>
              </c:ext>
            </c:extLst>
          </c:dPt>
          <c:dPt>
            <c:idx val="3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6750-49C8-930C-46704B9F3684}"/>
              </c:ext>
            </c:extLst>
          </c:dPt>
          <c:dPt>
            <c:idx val="4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6750-49C8-930C-46704B9F3684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6750-49C8-930C-46704B9F3684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0-6750-49C8-930C-46704B9F3684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6750-49C8-930C-46704B9F3684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2-6750-49C8-930C-46704B9F3684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6750-49C8-930C-46704B9F3684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4-6750-49C8-930C-46704B9F3684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6750-49C8-930C-46704B9F3684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6-6750-49C8-930C-46704B9F3684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7-6750-49C8-930C-46704B9F3684}"/>
              </c:ext>
            </c:extLst>
          </c:dPt>
          <c:dPt>
            <c:idx val="17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8-6750-49C8-930C-46704B9F3684}"/>
              </c:ext>
            </c:extLst>
          </c:dPt>
          <c:dPt>
            <c:idx val="18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9-6750-49C8-930C-46704B9F3684}"/>
              </c:ext>
            </c:extLst>
          </c:dPt>
          <c:dLbls>
            <c:dLbl>
              <c:idx val="11"/>
              <c:layout>
                <c:manualLayout>
                  <c:x val="0"/>
                  <c:y val="5.394757057806798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6750-49C8-930C-46704B9F36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'Comps Charts'!$E$8:$E$26</c:f>
              <c:strCache>
                <c:ptCount val="19"/>
                <c:pt idx="0">
                  <c:v>Shoals</c:v>
                </c:pt>
                <c:pt idx="2">
                  <c:v>Arctech</c:v>
                </c:pt>
                <c:pt idx="3">
                  <c:v>Array</c:v>
                </c:pt>
                <c:pt idx="4">
                  <c:v>Soltec</c:v>
                </c:pt>
                <c:pt idx="6">
                  <c:v>Enphase</c:v>
                </c:pt>
                <c:pt idx="7">
                  <c:v>Generac</c:v>
                </c:pt>
                <c:pt idx="8">
                  <c:v>SMA</c:v>
                </c:pt>
                <c:pt idx="9">
                  <c:v>SolarEdge</c:v>
                </c:pt>
                <c:pt idx="11">
                  <c:v>Canadian Solar</c:v>
                </c:pt>
                <c:pt idx="12">
                  <c:v>First Solar</c:v>
                </c:pt>
                <c:pt idx="13">
                  <c:v>JinkoSolar</c:v>
                </c:pt>
                <c:pt idx="14">
                  <c:v>Maxeon</c:v>
                </c:pt>
                <c:pt idx="16">
                  <c:v>Amphenol</c:v>
                </c:pt>
                <c:pt idx="17">
                  <c:v>Eaton</c:v>
                </c:pt>
                <c:pt idx="18">
                  <c:v>TE Connectivity</c:v>
                </c:pt>
              </c:strCache>
            </c:strRef>
          </c:cat>
          <c:val>
            <c:numRef>
              <c:f>'Comps Charts'!$G$8:$G$26</c:f>
              <c:numCache>
                <c:formatCode>General</c:formatCode>
                <c:ptCount val="19"/>
                <c:pt idx="0" formatCode="0.0\x">
                  <c:v>25.929086961096775</c:v>
                </c:pt>
                <c:pt idx="2" formatCode="0.0\x">
                  <c:v>28.665619718309863</c:v>
                </c:pt>
                <c:pt idx="3" formatCode="0.0\x">
                  <c:v>13.34961165893773</c:v>
                </c:pt>
                <c:pt idx="4" formatCode="0.0\x">
                  <c:v>8.5791249999999994</c:v>
                </c:pt>
                <c:pt idx="6" formatCode="0.0\x">
                  <c:v>44.782422512457131</c:v>
                </c:pt>
                <c:pt idx="7" formatCode="0.0\x">
                  <c:v>9.2793286822041257</c:v>
                </c:pt>
                <c:pt idx="8" formatCode="0.0\x">
                  <c:v>16.832531914893618</c:v>
                </c:pt>
                <c:pt idx="9" formatCode="0.0\x">
                  <c:v>17.53135102022695</c:v>
                </c:pt>
                <c:pt idx="11" formatCode="0.0\x">
                  <c:v>4.3431004264175561</c:v>
                </c:pt>
                <c:pt idx="12" formatCode="0.0\x">
                  <c:v>15.465205494987774</c:v>
                </c:pt>
                <c:pt idx="13" formatCode="0.0\x">
                  <c:v>7.6937959432048686</c:v>
                </c:pt>
                <c:pt idx="14" formatCode="0.0\x">
                  <c:v>17.892130343478257</c:v>
                </c:pt>
                <c:pt idx="16" formatCode="0.0\x">
                  <c:v>16.585224741736312</c:v>
                </c:pt>
                <c:pt idx="17" formatCode="0.0\x">
                  <c:v>14.999310434219055</c:v>
                </c:pt>
                <c:pt idx="18" formatCode="0.0\x">
                  <c:v>10.892219805195955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50-49C8-930C-46704B9F36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2"/>
        <c:axId val="551364992"/>
        <c:axId val="551366240"/>
      </c:barChart>
      <c:lineChart>
        <c:grouping val="standard"/>
        <c:varyColors val="0"/>
        <c:ser>
          <c:idx val="1"/>
          <c:order val="1"/>
          <c:tx>
            <c:strRef>
              <c:f>'Comps Charts'!$K$6</c:f>
              <c:strCache>
                <c:ptCount val="1"/>
                <c:pt idx="0">
                  <c:v>Mean</c:v>
                </c:pt>
              </c:strCache>
            </c:strRef>
          </c:tx>
          <c:spPr>
            <a:ln w="28575" cap="rnd">
              <a:solidFill>
                <a:srgbClr val="014B80"/>
              </a:solidFill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6.5901038434315867E-3"/>
                  <c:y val="-4.065040650406504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750-49C8-930C-46704B9F3684}"/>
                </c:ext>
              </c:extLst>
            </c:dLbl>
            <c:dLbl>
              <c:idx val="9"/>
              <c:layout>
                <c:manualLayout>
                  <c:x val="1.6475259608578967E-3"/>
                  <c:y val="-1.6260162601626091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750-49C8-930C-46704B9F3684}"/>
                </c:ext>
              </c:extLst>
            </c:dLbl>
            <c:dLbl>
              <c:idx val="14"/>
              <c:layout>
                <c:manualLayout>
                  <c:x val="3.2869289705002008E-3"/>
                  <c:y val="-1.2195121951219513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750-49C8-930C-46704B9F3684}"/>
                </c:ext>
              </c:extLst>
            </c:dLbl>
            <c:dLbl>
              <c:idx val="18"/>
              <c:layout>
                <c:manualLayout>
                  <c:x val="-1.2034402783047818E-16"/>
                  <c:y val="-2.8455284552845527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750-49C8-930C-46704B9F36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rgbClr val="014B8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'Comps Charts'!$M$8:$M$26</c:f>
              <c:numCache>
                <c:formatCode>General</c:formatCode>
                <c:ptCount val="19"/>
                <c:pt idx="2" formatCode="0.0\x">
                  <c:v>16.86478545908253</c:v>
                </c:pt>
                <c:pt idx="3" formatCode="0.0\x">
                  <c:v>16.86478545908253</c:v>
                </c:pt>
                <c:pt idx="4" formatCode="0.0\x">
                  <c:v>16.86478545908253</c:v>
                </c:pt>
                <c:pt idx="6" formatCode="0.0\x">
                  <c:v>22.106408532445457</c:v>
                </c:pt>
                <c:pt idx="7" formatCode="0.0\x">
                  <c:v>22.106408532445457</c:v>
                </c:pt>
                <c:pt idx="8" formatCode="0.0\x">
                  <c:v>22.106408532445457</c:v>
                </c:pt>
                <c:pt idx="9" formatCode="0.0\x">
                  <c:v>22.106408532445457</c:v>
                </c:pt>
                <c:pt idx="11" formatCode="0.0\x">
                  <c:v>11.348558052022113</c:v>
                </c:pt>
                <c:pt idx="12" formatCode="0.0\x">
                  <c:v>11.348558052022113</c:v>
                </c:pt>
                <c:pt idx="13" formatCode="0.0\x">
                  <c:v>11.348558052022113</c:v>
                </c:pt>
                <c:pt idx="14" formatCode="0.0\x">
                  <c:v>11.348558052022113</c:v>
                </c:pt>
                <c:pt idx="16" formatCode="0.0\x">
                  <c:v>14.158918327050442</c:v>
                </c:pt>
                <c:pt idx="17" formatCode="0.0\x">
                  <c:v>14.158918327050442</c:v>
                </c:pt>
                <c:pt idx="18" formatCode="0.0\x">
                  <c:v>14.158918327050442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6750-49C8-930C-46704B9F3684}"/>
            </c:ext>
          </c:extLst>
        </c:ser>
        <c:ser>
          <c:idx val="2"/>
          <c:order val="2"/>
          <c:tx>
            <c:strRef>
              <c:f>'Comps Charts'!$N$6</c:f>
              <c:strCache>
                <c:ptCount val="1"/>
                <c:pt idx="0">
                  <c:v>Median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6.5901038434315867E-3"/>
                  <c:y val="-8.130081300813009E-3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750-49C8-930C-46704B9F3684}"/>
                </c:ext>
              </c:extLst>
            </c:dLbl>
            <c:dLbl>
              <c:idx val="9"/>
              <c:layout>
                <c:manualLayout>
                  <c:x val="1.312854695283964E-2"/>
                  <c:y val="-7.4524884339629224E-17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750-49C8-930C-46704B9F3684}"/>
                </c:ext>
              </c:extLst>
            </c:dLbl>
            <c:dLbl>
              <c:idx val="14"/>
              <c:layout>
                <c:manualLayout>
                  <c:x val="1.6266416204404536E-3"/>
                  <c:y val="-6.5040650406504072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750-49C8-930C-46704B9F3684}"/>
                </c:ext>
              </c:extLst>
            </c:dLbl>
            <c:dLbl>
              <c:idx val="18"/>
              <c:layout>
                <c:manualLayout>
                  <c:x val="-1.2034402783047818E-16"/>
                  <c:y val="-6.097560975609756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750-49C8-930C-46704B9F36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accent3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'Comps Charts'!$N$8:$N$26</c:f>
              <c:numCache>
                <c:formatCode>General</c:formatCode>
                <c:ptCount val="19"/>
                <c:pt idx="2" formatCode="0.0\x">
                  <c:v>13.34961165893773</c:v>
                </c:pt>
                <c:pt idx="3" formatCode="0.0\x">
                  <c:v>13.34961165893773</c:v>
                </c:pt>
                <c:pt idx="4" formatCode="0.0\x">
                  <c:v>13.34961165893773</c:v>
                </c:pt>
                <c:pt idx="6" formatCode="0.0\x">
                  <c:v>17.181941467560286</c:v>
                </c:pt>
                <c:pt idx="7" formatCode="0.0\x">
                  <c:v>17.181941467560286</c:v>
                </c:pt>
                <c:pt idx="8" formatCode="0.0\x">
                  <c:v>17.181941467560286</c:v>
                </c:pt>
                <c:pt idx="9" formatCode="0.0\x">
                  <c:v>17.181941467560286</c:v>
                </c:pt>
                <c:pt idx="11" formatCode="0.0\x">
                  <c:v>11.579500719096322</c:v>
                </c:pt>
                <c:pt idx="12" formatCode="0.0\x">
                  <c:v>11.579500719096322</c:v>
                </c:pt>
                <c:pt idx="13" formatCode="0.0\x">
                  <c:v>11.579500719096322</c:v>
                </c:pt>
                <c:pt idx="14" formatCode="0.0\x">
                  <c:v>11.579500719096322</c:v>
                </c:pt>
                <c:pt idx="16" formatCode="0.0\x">
                  <c:v>14.999310434219055</c:v>
                </c:pt>
                <c:pt idx="17" formatCode="0.0\x">
                  <c:v>14.999310434219055</c:v>
                </c:pt>
                <c:pt idx="18" formatCode="0.0\x">
                  <c:v>14.999310434219055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750-49C8-930C-46704B9F36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364992"/>
        <c:axId val="551366240"/>
      </c:lineChart>
      <c:catAx>
        <c:axId val="55136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366240"/>
        <c:crosses val="autoZero"/>
        <c:auto val="1"/>
        <c:lblAlgn val="ctr"/>
        <c:lblOffset val="100"/>
        <c:noMultiLvlLbl val="0"/>
      </c:catAx>
      <c:valAx>
        <c:axId val="551366240"/>
        <c:scaling>
          <c:orientation val="minMax"/>
          <c:max val="90"/>
        </c:scaling>
        <c:delete val="0"/>
        <c:axPos val="l"/>
        <c:numFmt formatCode="0.0\x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364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FDB-4B26-913F-09AF19D8FAA3}"/>
              </c:ext>
            </c:extLst>
          </c:dPt>
          <c:dPt>
            <c:idx val="3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FDB-4B26-913F-09AF19D8FAA3}"/>
              </c:ext>
            </c:extLst>
          </c:dPt>
          <c:dPt>
            <c:idx val="4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FDB-4B26-913F-09AF19D8FAA3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FDB-4B26-913F-09AF19D8FAA3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EFDB-4B26-913F-09AF19D8FAA3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EFDB-4B26-913F-09AF19D8FAA3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FDB-4B26-913F-09AF19D8FAA3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EFDB-4B26-913F-09AF19D8FAA3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EFDB-4B26-913F-09AF19D8FAA3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EFDB-4B26-913F-09AF19D8FAA3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EFDB-4B26-913F-09AF19D8FAA3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7-EFDB-4B26-913F-09AF19D8FAA3}"/>
              </c:ext>
            </c:extLst>
          </c:dPt>
          <c:dPt>
            <c:idx val="17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9-EFDB-4B26-913F-09AF19D8FAA3}"/>
              </c:ext>
            </c:extLst>
          </c:dPt>
          <c:dPt>
            <c:idx val="18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B-EFDB-4B26-913F-09AF19D8FAA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'Comps Charts'!$E$8:$E$26</c:f>
              <c:strCache>
                <c:ptCount val="19"/>
                <c:pt idx="0">
                  <c:v>Shoals</c:v>
                </c:pt>
                <c:pt idx="2">
                  <c:v>Arctech</c:v>
                </c:pt>
                <c:pt idx="3">
                  <c:v>Array</c:v>
                </c:pt>
                <c:pt idx="4">
                  <c:v>Soltec</c:v>
                </c:pt>
                <c:pt idx="6">
                  <c:v>Enphase</c:v>
                </c:pt>
                <c:pt idx="7">
                  <c:v>Generac</c:v>
                </c:pt>
                <c:pt idx="8">
                  <c:v>SMA</c:v>
                </c:pt>
                <c:pt idx="9">
                  <c:v>SolarEdge</c:v>
                </c:pt>
                <c:pt idx="11">
                  <c:v>Canadian Solar</c:v>
                </c:pt>
                <c:pt idx="12">
                  <c:v>First Solar</c:v>
                </c:pt>
                <c:pt idx="13">
                  <c:v>JinkoSolar</c:v>
                </c:pt>
                <c:pt idx="14">
                  <c:v>Maxeon</c:v>
                </c:pt>
                <c:pt idx="16">
                  <c:v>Amphenol</c:v>
                </c:pt>
                <c:pt idx="17">
                  <c:v>Eaton</c:v>
                </c:pt>
                <c:pt idx="18">
                  <c:v>TE Connectivity</c:v>
                </c:pt>
              </c:strCache>
            </c:strRef>
          </c:cat>
          <c:val>
            <c:numRef>
              <c:f>'Comps Charts'!$X$8:$X$26</c:f>
              <c:numCache>
                <c:formatCode>0%</c:formatCode>
                <c:ptCount val="19"/>
                <c:pt idx="0">
                  <c:v>0.48106969950003514</c:v>
                </c:pt>
                <c:pt idx="2">
                  <c:v>0.52781653605561196</c:v>
                </c:pt>
                <c:pt idx="3">
                  <c:v>0.35858636346760531</c:v>
                </c:pt>
                <c:pt idx="4">
                  <c:v>0.25010627115813339</c:v>
                </c:pt>
                <c:pt idx="6">
                  <c:v>0.41326185036665597</c:v>
                </c:pt>
                <c:pt idx="7">
                  <c:v>0.3457797257483185</c:v>
                </c:pt>
                <c:pt idx="8">
                  <c:v>0.12232283549346019</c:v>
                </c:pt>
                <c:pt idx="9">
                  <c:v>9.6470781237041378E-2</c:v>
                </c:pt>
                <c:pt idx="11">
                  <c:v>0.33041092423139312</c:v>
                </c:pt>
                <c:pt idx="12">
                  <c:v>0.27711713840108321</c:v>
                </c:pt>
                <c:pt idx="13">
                  <c:v>0.2371896108490304</c:v>
                </c:pt>
                <c:pt idx="14">
                  <c:v>0.15236491596071769</c:v>
                </c:pt>
                <c:pt idx="16">
                  <c:v>8.3258187857147156E-2</c:v>
                </c:pt>
                <c:pt idx="17">
                  <c:v>5.484689067246367E-2</c:v>
                </c:pt>
                <c:pt idx="18">
                  <c:v>5.1970073187891618E-2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EFDB-4B26-913F-09AF19D8FA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2"/>
        <c:axId val="551364992"/>
        <c:axId val="551366240"/>
      </c:barChart>
      <c:lineChart>
        <c:grouping val="standard"/>
        <c:varyColors val="0"/>
        <c:ser>
          <c:idx val="1"/>
          <c:order val="1"/>
          <c:tx>
            <c:strRef>
              <c:f>'Comps Charts'!$K$6</c:f>
              <c:strCache>
                <c:ptCount val="1"/>
                <c:pt idx="0">
                  <c:v>Mean</c:v>
                </c:pt>
              </c:strCache>
            </c:strRef>
          </c:tx>
          <c:spPr>
            <a:ln w="28575" cap="rnd">
              <a:solidFill>
                <a:srgbClr val="014B80"/>
              </a:solidFill>
              <a:round/>
            </a:ln>
            <a:effectLst/>
          </c:spPr>
          <c:marker>
            <c:symbol val="none"/>
          </c:marker>
          <c:dLbls>
            <c:dLbl>
              <c:idx val="4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EFDB-4B26-913F-09AF19D8FAA3}"/>
                </c:ext>
              </c:extLst>
            </c:dLbl>
            <c:dLbl>
              <c:idx val="9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EFDB-4B26-913F-09AF19D8FAA3}"/>
                </c:ext>
              </c:extLst>
            </c:dLbl>
            <c:dLbl>
              <c:idx val="14"/>
              <c:layout>
                <c:manualLayout>
                  <c:x val="1.6398402150023001E-3"/>
                  <c:y val="2.4390243902439025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EFDB-4B26-913F-09AF19D8FAA3}"/>
                </c:ext>
              </c:extLst>
            </c:dLbl>
            <c:dLbl>
              <c:idx val="18"/>
              <c:layout>
                <c:manualLayout>
                  <c:x val="0"/>
                  <c:y val="-0.1341463414634147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EFDB-4B26-913F-09AF19D8FA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rgbClr val="014B8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'Comps Charts'!$Y$8:$Y$26</c:f>
              <c:numCache>
                <c:formatCode>0%</c:formatCode>
                <c:ptCount val="19"/>
                <c:pt idx="2">
                  <c:v>0.37883639022711685</c:v>
                </c:pt>
                <c:pt idx="3">
                  <c:v>0.37883639022711685</c:v>
                </c:pt>
                <c:pt idx="4">
                  <c:v>0.37883639022711685</c:v>
                </c:pt>
                <c:pt idx="6">
                  <c:v>0.24445879821136901</c:v>
                </c:pt>
                <c:pt idx="7">
                  <c:v>0.24445879821136901</c:v>
                </c:pt>
                <c:pt idx="8">
                  <c:v>0.24445879821136901</c:v>
                </c:pt>
                <c:pt idx="9">
                  <c:v>0.24445879821136901</c:v>
                </c:pt>
                <c:pt idx="11">
                  <c:v>0.24927064736055612</c:v>
                </c:pt>
                <c:pt idx="12">
                  <c:v>0.24927064736055612</c:v>
                </c:pt>
                <c:pt idx="13">
                  <c:v>0.24927064736055612</c:v>
                </c:pt>
                <c:pt idx="14">
                  <c:v>0.24927064736055612</c:v>
                </c:pt>
                <c:pt idx="16">
                  <c:v>6.3358383905834148E-2</c:v>
                </c:pt>
                <c:pt idx="17">
                  <c:v>6.3358383905834148E-2</c:v>
                </c:pt>
                <c:pt idx="18">
                  <c:v>6.3358383905834148E-2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EFDB-4B26-913F-09AF19D8FAA3}"/>
            </c:ext>
          </c:extLst>
        </c:ser>
        <c:ser>
          <c:idx val="2"/>
          <c:order val="2"/>
          <c:tx>
            <c:strRef>
              <c:f>'Comps Charts'!$N$6</c:f>
              <c:strCache>
                <c:ptCount val="1"/>
                <c:pt idx="0">
                  <c:v>Median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3.0204293693149925E-17"/>
                  <c:y val="2.0325203252032482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EFDB-4B26-913F-09AF19D8FAA3}"/>
                </c:ext>
              </c:extLst>
            </c:dLbl>
            <c:dLbl>
              <c:idx val="9"/>
              <c:layout>
                <c:manualLayout>
                  <c:x val="0"/>
                  <c:y val="2.4390243902439025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EFDB-4B26-913F-09AF19D8FAA3}"/>
                </c:ext>
              </c:extLst>
            </c:dLbl>
            <c:dLbl>
              <c:idx val="14"/>
              <c:layout>
                <c:manualLayout>
                  <c:x val="-1.5651496628150137E-2"/>
                  <c:y val="-1.625984251968503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chemeClr val="accent3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layout>
                    <c:manualLayout>
                      <c:w val="0.12010139938520041"/>
                      <c:h val="7.050829012227130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22-EFDB-4B26-913F-09AF19D8FAA3}"/>
                </c:ext>
              </c:extLst>
            </c:dLbl>
            <c:dLbl>
              <c:idx val="18"/>
              <c:layout>
                <c:manualLayout>
                  <c:x val="-1.208171747725997E-16"/>
                  <c:y val="-6.910569105691064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EFDB-4B26-913F-09AF19D8FA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accent3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'Comps Charts'!$Z$8:$Z$26</c:f>
              <c:numCache>
                <c:formatCode>0%</c:formatCode>
                <c:ptCount val="19"/>
                <c:pt idx="2">
                  <c:v>0.35858636346760531</c:v>
                </c:pt>
                <c:pt idx="3">
                  <c:v>0.35858636346760531</c:v>
                </c:pt>
                <c:pt idx="4">
                  <c:v>0.35858636346760531</c:v>
                </c:pt>
                <c:pt idx="6">
                  <c:v>0.23405128062088937</c:v>
                </c:pt>
                <c:pt idx="7">
                  <c:v>0.23405128062088937</c:v>
                </c:pt>
                <c:pt idx="8">
                  <c:v>0.23405128062088937</c:v>
                </c:pt>
                <c:pt idx="9">
                  <c:v>0.23405128062088937</c:v>
                </c:pt>
                <c:pt idx="11">
                  <c:v>0.25715337462505683</c:v>
                </c:pt>
                <c:pt idx="12">
                  <c:v>0.25715337462505683</c:v>
                </c:pt>
                <c:pt idx="13">
                  <c:v>0.25715337462505683</c:v>
                </c:pt>
                <c:pt idx="14">
                  <c:v>0.25715337462505683</c:v>
                </c:pt>
                <c:pt idx="16">
                  <c:v>5.484689067246367E-2</c:v>
                </c:pt>
                <c:pt idx="17">
                  <c:v>5.484689067246367E-2</c:v>
                </c:pt>
                <c:pt idx="18">
                  <c:v>5.484689067246367E-2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EFDB-4B26-913F-09AF19D8FA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364992"/>
        <c:axId val="551366240"/>
      </c:lineChart>
      <c:catAx>
        <c:axId val="55136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366240"/>
        <c:crosses val="autoZero"/>
        <c:auto val="1"/>
        <c:lblAlgn val="ctr"/>
        <c:lblOffset val="100"/>
        <c:noMultiLvlLbl val="0"/>
      </c:catAx>
      <c:valAx>
        <c:axId val="551366240"/>
        <c:scaling>
          <c:orientation val="minMax"/>
        </c:scaling>
        <c:delete val="0"/>
        <c:axPos val="l"/>
        <c:numFmt formatCode="0%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364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31E-4F4A-8D98-DEF2A3469B25}"/>
              </c:ext>
            </c:extLst>
          </c:dPt>
          <c:dPt>
            <c:idx val="3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31E-4F4A-8D98-DEF2A3469B25}"/>
              </c:ext>
            </c:extLst>
          </c:dPt>
          <c:dPt>
            <c:idx val="4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C31E-4F4A-8D98-DEF2A3469B25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C31E-4F4A-8D98-DEF2A3469B25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C31E-4F4A-8D98-DEF2A3469B25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C31E-4F4A-8D98-DEF2A3469B25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C31E-4F4A-8D98-DEF2A3469B25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C31E-4F4A-8D98-DEF2A3469B25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C31E-4F4A-8D98-DEF2A3469B25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C31E-4F4A-8D98-DEF2A3469B25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C31E-4F4A-8D98-DEF2A3469B25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7-C31E-4F4A-8D98-DEF2A3469B25}"/>
              </c:ext>
            </c:extLst>
          </c:dPt>
          <c:dPt>
            <c:idx val="17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9-C31E-4F4A-8D98-DEF2A3469B25}"/>
              </c:ext>
            </c:extLst>
          </c:dPt>
          <c:dPt>
            <c:idx val="18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B-C31E-4F4A-8D98-DEF2A3469B25}"/>
              </c:ext>
            </c:extLst>
          </c:dPt>
          <c:dLbls>
            <c:dLbl>
              <c:idx val="14"/>
              <c:layout>
                <c:manualLayout>
                  <c:x val="0"/>
                  <c:y val="5.608955892708518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C31E-4F4A-8D98-DEF2A3469B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'Comps Charts'!$E$8:$E$26</c:f>
              <c:strCache>
                <c:ptCount val="19"/>
                <c:pt idx="0">
                  <c:v>Shoals</c:v>
                </c:pt>
                <c:pt idx="2">
                  <c:v>Arctech</c:v>
                </c:pt>
                <c:pt idx="3">
                  <c:v>Array</c:v>
                </c:pt>
                <c:pt idx="4">
                  <c:v>Soltec</c:v>
                </c:pt>
                <c:pt idx="6">
                  <c:v>Enphase</c:v>
                </c:pt>
                <c:pt idx="7">
                  <c:v>Generac</c:v>
                </c:pt>
                <c:pt idx="8">
                  <c:v>SMA</c:v>
                </c:pt>
                <c:pt idx="9">
                  <c:v>SolarEdge</c:v>
                </c:pt>
                <c:pt idx="11">
                  <c:v>Canadian Solar</c:v>
                </c:pt>
                <c:pt idx="12">
                  <c:v>First Solar</c:v>
                </c:pt>
                <c:pt idx="13">
                  <c:v>JinkoSolar</c:v>
                </c:pt>
                <c:pt idx="14">
                  <c:v>Maxeon</c:v>
                </c:pt>
                <c:pt idx="16">
                  <c:v>Amphenol</c:v>
                </c:pt>
                <c:pt idx="17">
                  <c:v>Eaton</c:v>
                </c:pt>
                <c:pt idx="18">
                  <c:v>TE Connectivity</c:v>
                </c:pt>
              </c:strCache>
            </c:strRef>
          </c:cat>
          <c:val>
            <c:numRef>
              <c:f>'Comps Charts'!$AF$8:$AF$26</c:f>
              <c:numCache>
                <c:formatCode>0%</c:formatCode>
                <c:ptCount val="19"/>
                <c:pt idx="0">
                  <c:v>0.37490328880534873</c:v>
                </c:pt>
                <c:pt idx="2">
                  <c:v>0.3524892759501832</c:v>
                </c:pt>
                <c:pt idx="3">
                  <c:v>0.1636084048070145</c:v>
                </c:pt>
                <c:pt idx="4">
                  <c:v>0.15565356076844675</c:v>
                </c:pt>
                <c:pt idx="6">
                  <c:v>0.4087888082572253</c:v>
                </c:pt>
                <c:pt idx="7">
                  <c:v>0.34512881627722802</c:v>
                </c:pt>
                <c:pt idx="8">
                  <c:v>0.30096319987712933</c:v>
                </c:pt>
                <c:pt idx="9">
                  <c:v>0.19446175039402899</c:v>
                </c:pt>
                <c:pt idx="11">
                  <c:v>0.19342496552415361</c:v>
                </c:pt>
                <c:pt idx="12">
                  <c:v>0.17450598373713211</c:v>
                </c:pt>
                <c:pt idx="13">
                  <c:v>0.17441492198290148</c:v>
                </c:pt>
                <c:pt idx="14">
                  <c:v>2.8349788234404236E-2</c:v>
                </c:pt>
                <c:pt idx="16">
                  <c:v>0.34863246370940459</c:v>
                </c:pt>
                <c:pt idx="17">
                  <c:v>0.32944552400420563</c:v>
                </c:pt>
                <c:pt idx="18">
                  <c:v>0.31873331208693162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C31E-4F4A-8D98-DEF2A3469B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2"/>
        <c:axId val="551364992"/>
        <c:axId val="551366240"/>
      </c:barChart>
      <c:lineChart>
        <c:grouping val="standard"/>
        <c:varyColors val="0"/>
        <c:ser>
          <c:idx val="1"/>
          <c:order val="1"/>
          <c:tx>
            <c:strRef>
              <c:f>'Comps Charts'!$K$6</c:f>
              <c:strCache>
                <c:ptCount val="1"/>
                <c:pt idx="0">
                  <c:v>Mean</c:v>
                </c:pt>
              </c:strCache>
            </c:strRef>
          </c:tx>
          <c:spPr>
            <a:ln w="28575" cap="rnd">
              <a:solidFill>
                <a:srgbClr val="014B80"/>
              </a:solidFill>
              <a:round/>
            </a:ln>
            <a:effectLst/>
          </c:spPr>
          <c:marker>
            <c:symbol val="none"/>
          </c:marker>
          <c:dLbls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rgbClr val="014B8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C31E-4F4A-8D98-DEF2A3469B25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rgbClr val="014B8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C31E-4F4A-8D98-DEF2A3469B25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rgbClr val="014B8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C31E-4F4A-8D98-DEF2A3469B25}"/>
                </c:ext>
              </c:extLst>
            </c:dLbl>
            <c:dLbl>
              <c:idx val="18"/>
              <c:layout>
                <c:manualLayout>
                  <c:x val="-9.8464432954055749E-3"/>
                  <c:y val="-8.130081300813007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rgbClr val="014B8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C31E-4F4A-8D98-DEF2A3469B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'Comps Charts'!$AG$8:$AG$26</c:f>
              <c:numCache>
                <c:formatCode>0%</c:formatCode>
                <c:ptCount val="19"/>
                <c:pt idx="2">
                  <c:v>0.22391708050854817</c:v>
                </c:pt>
                <c:pt idx="3">
                  <c:v>0.22391708050854817</c:v>
                </c:pt>
                <c:pt idx="4">
                  <c:v>0.22391708050854817</c:v>
                </c:pt>
                <c:pt idx="6">
                  <c:v>0.31233564370140293</c:v>
                </c:pt>
                <c:pt idx="7">
                  <c:v>0.31233564370140293</c:v>
                </c:pt>
                <c:pt idx="8">
                  <c:v>0.31233564370140293</c:v>
                </c:pt>
                <c:pt idx="9">
                  <c:v>0.31233564370140293</c:v>
                </c:pt>
                <c:pt idx="11">
                  <c:v>0.14267391486964787</c:v>
                </c:pt>
                <c:pt idx="12">
                  <c:v>0.14267391486964787</c:v>
                </c:pt>
                <c:pt idx="13">
                  <c:v>0.14267391486964787</c:v>
                </c:pt>
                <c:pt idx="14">
                  <c:v>0.14267391486964787</c:v>
                </c:pt>
                <c:pt idx="16">
                  <c:v>0.3322704332668473</c:v>
                </c:pt>
                <c:pt idx="17">
                  <c:v>0.3322704332668473</c:v>
                </c:pt>
                <c:pt idx="18">
                  <c:v>0.3322704332668473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C31E-4F4A-8D98-DEF2A3469B25}"/>
            </c:ext>
          </c:extLst>
        </c:ser>
        <c:ser>
          <c:idx val="2"/>
          <c:order val="2"/>
          <c:tx>
            <c:strRef>
              <c:f>'Comps Charts'!$N$6</c:f>
              <c:strCache>
                <c:ptCount val="1"/>
                <c:pt idx="0">
                  <c:v>Median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chemeClr val="accent3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C31E-4F4A-8D98-DEF2A3469B25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chemeClr val="accent3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C31E-4F4A-8D98-DEF2A3469B25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chemeClr val="accent3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C31E-4F4A-8D98-DEF2A3469B25}"/>
                </c:ext>
              </c:extLst>
            </c:dLbl>
            <c:dLbl>
              <c:idx val="18"/>
              <c:layout>
                <c:manualLayout>
                  <c:x val="0"/>
                  <c:y val="-4.065040650406506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chemeClr val="accent3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C31E-4F4A-8D98-DEF2A3469B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'Comps Charts'!$AH$8:$AH$26</c:f>
              <c:numCache>
                <c:formatCode>0%</c:formatCode>
                <c:ptCount val="19"/>
                <c:pt idx="2">
                  <c:v>0.1636084048070145</c:v>
                </c:pt>
                <c:pt idx="3">
                  <c:v>0.1636084048070145</c:v>
                </c:pt>
                <c:pt idx="4">
                  <c:v>0.1636084048070145</c:v>
                </c:pt>
                <c:pt idx="6">
                  <c:v>0.32304600807717865</c:v>
                </c:pt>
                <c:pt idx="7">
                  <c:v>0.32304600807717865</c:v>
                </c:pt>
                <c:pt idx="8">
                  <c:v>0.32304600807717865</c:v>
                </c:pt>
                <c:pt idx="9">
                  <c:v>0.32304600807717865</c:v>
                </c:pt>
                <c:pt idx="11">
                  <c:v>0.1744604528600168</c:v>
                </c:pt>
                <c:pt idx="12">
                  <c:v>0.1744604528600168</c:v>
                </c:pt>
                <c:pt idx="13">
                  <c:v>0.1744604528600168</c:v>
                </c:pt>
                <c:pt idx="14">
                  <c:v>0.1744604528600168</c:v>
                </c:pt>
                <c:pt idx="16">
                  <c:v>0.32944552400420563</c:v>
                </c:pt>
                <c:pt idx="17">
                  <c:v>0.32944552400420563</c:v>
                </c:pt>
                <c:pt idx="18">
                  <c:v>0.32944552400420563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C31E-4F4A-8D98-DEF2A3469B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364992"/>
        <c:axId val="551366240"/>
      </c:lineChart>
      <c:catAx>
        <c:axId val="55136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366240"/>
        <c:crosses val="autoZero"/>
        <c:auto val="1"/>
        <c:lblAlgn val="ctr"/>
        <c:lblOffset val="100"/>
        <c:noMultiLvlLbl val="0"/>
      </c:catAx>
      <c:valAx>
        <c:axId val="551366240"/>
        <c:scaling>
          <c:orientation val="minMax"/>
        </c:scaling>
        <c:delete val="0"/>
        <c:axPos val="l"/>
        <c:numFmt formatCode="0%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364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0B7-4A1B-8811-BAB9DBD01E9D}"/>
              </c:ext>
            </c:extLst>
          </c:dPt>
          <c:dPt>
            <c:idx val="3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80B7-4A1B-8811-BAB9DBD01E9D}"/>
              </c:ext>
            </c:extLst>
          </c:dPt>
          <c:dPt>
            <c:idx val="4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80B7-4A1B-8811-BAB9DBD01E9D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80B7-4A1B-8811-BAB9DBD01E9D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80B7-4A1B-8811-BAB9DBD01E9D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80B7-4A1B-8811-BAB9DBD01E9D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80B7-4A1B-8811-BAB9DBD01E9D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80B7-4A1B-8811-BAB9DBD01E9D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80B7-4A1B-8811-BAB9DBD01E9D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80B7-4A1B-8811-BAB9DBD01E9D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80B7-4A1B-8811-BAB9DBD01E9D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7-80B7-4A1B-8811-BAB9DBD01E9D}"/>
              </c:ext>
            </c:extLst>
          </c:dPt>
          <c:dPt>
            <c:idx val="17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9-80B7-4A1B-8811-BAB9DBD01E9D}"/>
              </c:ext>
            </c:extLst>
          </c:dPt>
          <c:dPt>
            <c:idx val="18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B-80B7-4A1B-8811-BAB9DBD01E9D}"/>
              </c:ext>
            </c:extLst>
          </c:dPt>
          <c:dLbls>
            <c:dLbl>
              <c:idx val="14"/>
              <c:layout>
                <c:manualLayout>
                  <c:x val="6.630033556061567E-3"/>
                  <c:y val="6.644581012739261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80B7-4A1B-8811-BAB9DBD01E9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'Comps Charts'!$E$8:$E$26</c:f>
              <c:strCache>
                <c:ptCount val="19"/>
                <c:pt idx="0">
                  <c:v>Shoals</c:v>
                </c:pt>
                <c:pt idx="2">
                  <c:v>Arctech</c:v>
                </c:pt>
                <c:pt idx="3">
                  <c:v>Array</c:v>
                </c:pt>
                <c:pt idx="4">
                  <c:v>Soltec</c:v>
                </c:pt>
                <c:pt idx="6">
                  <c:v>Enphase</c:v>
                </c:pt>
                <c:pt idx="7">
                  <c:v>Generac</c:v>
                </c:pt>
                <c:pt idx="8">
                  <c:v>SMA</c:v>
                </c:pt>
                <c:pt idx="9">
                  <c:v>SolarEdge</c:v>
                </c:pt>
                <c:pt idx="11">
                  <c:v>Canadian Solar</c:v>
                </c:pt>
                <c:pt idx="12">
                  <c:v>First Solar</c:v>
                </c:pt>
                <c:pt idx="13">
                  <c:v>JinkoSolar</c:v>
                </c:pt>
                <c:pt idx="14">
                  <c:v>Maxeon</c:v>
                </c:pt>
                <c:pt idx="16">
                  <c:v>Amphenol</c:v>
                </c:pt>
                <c:pt idx="17">
                  <c:v>Eaton</c:v>
                </c:pt>
                <c:pt idx="18">
                  <c:v>TE Connectivity</c:v>
                </c:pt>
              </c:strCache>
            </c:strRef>
          </c:cat>
          <c:val>
            <c:numRef>
              <c:f>'Comps Charts'!$AQ$8:$AQ$26</c:f>
              <c:numCache>
                <c:formatCode>0%</c:formatCode>
                <c:ptCount val="19"/>
                <c:pt idx="0">
                  <c:v>0.28517320243945754</c:v>
                </c:pt>
                <c:pt idx="2">
                  <c:v>9.9475609544101867E-2</c:v>
                </c:pt>
                <c:pt idx="3">
                  <c:v>4.8202876607705697E-2</c:v>
                </c:pt>
                <c:pt idx="4">
                  <c:v>4.5741551389130441E-2</c:v>
                </c:pt>
                <c:pt idx="6">
                  <c:v>0.27304615420166256</c:v>
                </c:pt>
                <c:pt idx="7">
                  <c:v>0.20512335626301639</c:v>
                </c:pt>
                <c:pt idx="8">
                  <c:v>0.15886046167127826</c:v>
                </c:pt>
                <c:pt idx="9">
                  <c:v>6.564467786402961E-2</c:v>
                </c:pt>
                <c:pt idx="11">
                  <c:v>0.23476456082991484</c:v>
                </c:pt>
                <c:pt idx="12">
                  <c:v>8.6283748846845754E-2</c:v>
                </c:pt>
                <c:pt idx="13">
                  <c:v>6.5347010735135033E-2</c:v>
                </c:pt>
                <c:pt idx="14">
                  <c:v>-4.8595648678513015E-2</c:v>
                </c:pt>
                <c:pt idx="16">
                  <c:v>0.2394391920009854</c:v>
                </c:pt>
                <c:pt idx="17">
                  <c:v>0.23184828323278267</c:v>
                </c:pt>
                <c:pt idx="18">
                  <c:v>0.20548211640724989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80B7-4A1B-8811-BAB9DBD01E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2"/>
        <c:axId val="551364992"/>
        <c:axId val="551366240"/>
      </c:barChart>
      <c:lineChart>
        <c:grouping val="standard"/>
        <c:varyColors val="0"/>
        <c:ser>
          <c:idx val="1"/>
          <c:order val="1"/>
          <c:tx>
            <c:strRef>
              <c:f>'Comps Charts'!$K$6</c:f>
              <c:strCache>
                <c:ptCount val="1"/>
                <c:pt idx="0">
                  <c:v>Mean</c:v>
                </c:pt>
              </c:strCache>
            </c:strRef>
          </c:tx>
          <c:spPr>
            <a:ln w="28575" cap="rnd">
              <a:solidFill>
                <a:srgbClr val="014B80"/>
              </a:solidFill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1.6575083890154221E-3"/>
                  <c:y val="-2.439024390243902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rgbClr val="014B8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80B7-4A1B-8811-BAB9DBD01E9D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rgbClr val="014B8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80B7-4A1B-8811-BAB9DBD01E9D}"/>
                </c:ext>
              </c:extLst>
            </c:dLbl>
            <c:dLbl>
              <c:idx val="14"/>
              <c:layout>
                <c:manualLayout>
                  <c:x val="0"/>
                  <c:y val="-4.87804878048781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rgbClr val="014B8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80B7-4A1B-8811-BAB9DBD01E9D}"/>
                </c:ext>
              </c:extLst>
            </c:dLbl>
            <c:dLbl>
              <c:idx val="18"/>
              <c:layout>
                <c:manualLayout>
                  <c:x val="0"/>
                  <c:y val="-4.47154471544715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rgbClr val="014B8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80B7-4A1B-8811-BAB9DBD01E9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'Comps Charts'!$AR$8:$AR$26</c:f>
              <c:numCache>
                <c:formatCode>0%</c:formatCode>
                <c:ptCount val="19"/>
                <c:pt idx="2">
                  <c:v>6.4473345846979335E-2</c:v>
                </c:pt>
                <c:pt idx="3">
                  <c:v>6.4473345846979335E-2</c:v>
                </c:pt>
                <c:pt idx="4">
                  <c:v>6.4473345846979335E-2</c:v>
                </c:pt>
                <c:pt idx="6">
                  <c:v>0.17566866249999669</c:v>
                </c:pt>
                <c:pt idx="7">
                  <c:v>0.17566866249999669</c:v>
                </c:pt>
                <c:pt idx="8">
                  <c:v>0.17566866249999669</c:v>
                </c:pt>
                <c:pt idx="9">
                  <c:v>0.17566866249999669</c:v>
                </c:pt>
                <c:pt idx="11">
                  <c:v>8.444991793334565E-2</c:v>
                </c:pt>
                <c:pt idx="12">
                  <c:v>8.444991793334565E-2</c:v>
                </c:pt>
                <c:pt idx="13">
                  <c:v>8.444991793334565E-2</c:v>
                </c:pt>
                <c:pt idx="14">
                  <c:v>8.444991793334565E-2</c:v>
                </c:pt>
                <c:pt idx="16">
                  <c:v>0.2255898638803393</c:v>
                </c:pt>
                <c:pt idx="17">
                  <c:v>0.2255898638803393</c:v>
                </c:pt>
                <c:pt idx="18">
                  <c:v>0.2255898638803393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80B7-4A1B-8811-BAB9DBD01E9D}"/>
            </c:ext>
          </c:extLst>
        </c:ser>
        <c:ser>
          <c:idx val="2"/>
          <c:order val="2"/>
          <c:tx>
            <c:strRef>
              <c:f>'Comps Charts'!$N$6</c:f>
              <c:strCache>
                <c:ptCount val="1"/>
                <c:pt idx="0">
                  <c:v>Median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chemeClr val="accent3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80B7-4A1B-8811-BAB9DBD01E9D}"/>
                </c:ext>
              </c:extLst>
            </c:dLbl>
            <c:dLbl>
              <c:idx val="9"/>
              <c:layout>
                <c:manualLayout>
                  <c:x val="-9.9450503340924104E-3"/>
                  <c:y val="-1.626016260162601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chemeClr val="accent3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80B7-4A1B-8811-BAB9DBD01E9D}"/>
                </c:ext>
              </c:extLst>
            </c:dLbl>
            <c:dLbl>
              <c:idx val="14"/>
              <c:layout>
                <c:manualLayout>
                  <c:x val="-9.9450503340923497E-3"/>
                  <c:y val="-7.4524884339629224E-17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chemeClr val="accent3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80B7-4A1B-8811-BAB9DBD01E9D}"/>
                </c:ext>
              </c:extLst>
            </c:dLbl>
            <c:dLbl>
              <c:idx val="18"/>
              <c:layout>
                <c:manualLayout>
                  <c:x val="0"/>
                  <c:y val="-8.130081300813012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baseline="0">
                      <a:solidFill>
                        <a:schemeClr val="accent3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80B7-4A1B-8811-BAB9DBD01E9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'Comps Charts'!$AS$8:$AS$26</c:f>
              <c:numCache>
                <c:formatCode>0%</c:formatCode>
                <c:ptCount val="19"/>
                <c:pt idx="2">
                  <c:v>4.8202876607705697E-2</c:v>
                </c:pt>
                <c:pt idx="3">
                  <c:v>4.8202876607705697E-2</c:v>
                </c:pt>
                <c:pt idx="4">
                  <c:v>4.8202876607705697E-2</c:v>
                </c:pt>
                <c:pt idx="6">
                  <c:v>0.18199190896714734</c:v>
                </c:pt>
                <c:pt idx="7">
                  <c:v>0.18199190896714734</c:v>
                </c:pt>
                <c:pt idx="8">
                  <c:v>0.18199190896714734</c:v>
                </c:pt>
                <c:pt idx="9">
                  <c:v>0.18199190896714734</c:v>
                </c:pt>
                <c:pt idx="11">
                  <c:v>7.58153797909904E-2</c:v>
                </c:pt>
                <c:pt idx="12">
                  <c:v>7.58153797909904E-2</c:v>
                </c:pt>
                <c:pt idx="13">
                  <c:v>7.58153797909904E-2</c:v>
                </c:pt>
                <c:pt idx="14">
                  <c:v>7.58153797909904E-2</c:v>
                </c:pt>
                <c:pt idx="16">
                  <c:v>0.23184828323278267</c:v>
                </c:pt>
                <c:pt idx="17">
                  <c:v>0.23184828323278267</c:v>
                </c:pt>
                <c:pt idx="18">
                  <c:v>0.23184828323278267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80B7-4A1B-8811-BAB9DBD01E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364992"/>
        <c:axId val="551366240"/>
      </c:lineChart>
      <c:catAx>
        <c:axId val="55136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366240"/>
        <c:crosses val="autoZero"/>
        <c:auto val="1"/>
        <c:lblAlgn val="ctr"/>
        <c:lblOffset val="100"/>
        <c:noMultiLvlLbl val="0"/>
      </c:catAx>
      <c:valAx>
        <c:axId val="551366240"/>
        <c:scaling>
          <c:orientation val="minMax"/>
        </c:scaling>
        <c:delete val="0"/>
        <c:axPos val="l"/>
        <c:numFmt formatCode="0%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51364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3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97B-419D-A326-F071F510E6C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'Comps Charts'!$E$57:$J$57</c15:sqref>
                  </c15:fullRef>
                </c:ext>
              </c:extLst>
              <c:f>('Comps Charts'!$E$57,'Comps Charts'!$H$57:$J$57)</c:f>
              <c:strCache>
                <c:ptCount val="4"/>
                <c:pt idx="0">
                  <c:v>2021A</c:v>
                </c:pt>
                <c:pt idx="1">
                  <c:v>2024E</c:v>
                </c:pt>
                <c:pt idx="3">
                  <c:v>2024E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'Comps Charts'!$E$63:$J$63</c15:sqref>
                  </c15:fullRef>
                </c:ext>
              </c:extLst>
              <c:f>('Comps Charts'!$E$63,'Comps Charts'!$H$63:$J$63)</c:f>
              <c:numCache>
                <c:formatCode>0.0%</c:formatCode>
                <c:ptCount val="4"/>
                <c:pt idx="0">
                  <c:v>0.17790140845070423</c:v>
                </c:pt>
                <c:pt idx="1">
                  <c:v>8.5260115606936415E-2</c:v>
                </c:pt>
                <c:pt idx="3">
                  <c:v>0.124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7B-419D-A326-F071F510E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5"/>
        <c:overlap val="-27"/>
        <c:axId val="2080738288"/>
        <c:axId val="2080738704"/>
      </c:barChart>
      <c:catAx>
        <c:axId val="20807382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0738704"/>
        <c:crosses val="autoZero"/>
        <c:auto val="1"/>
        <c:lblAlgn val="ctr"/>
        <c:lblOffset val="100"/>
        <c:noMultiLvlLbl val="0"/>
      </c:catAx>
      <c:valAx>
        <c:axId val="2080738704"/>
        <c:scaling>
          <c:orientation val="minMax"/>
        </c:scaling>
        <c:delete val="0"/>
        <c:axPos val="l"/>
        <c:numFmt formatCode="0.0%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07382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593912</xdr:colOff>
      <xdr:row>5</xdr:row>
      <xdr:rowOff>-1</xdr:rowOff>
    </xdr:from>
    <xdr:to>
      <xdr:col>10</xdr:col>
      <xdr:colOff>456080</xdr:colOff>
      <xdr:row>31</xdr:row>
      <xdr:rowOff>38660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35FFCC1-79B1-3D0B-2254-649F7F4A9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912" y="896470"/>
          <a:ext cx="8681197" cy="47003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34</xdr:col>
      <xdr:colOff>284630</xdr:colOff>
      <xdr:row>64</xdr:row>
      <xdr:rowOff>67236</xdr:rowOff>
    </xdr:from>
    <xdr:to>
      <xdr:col>47</xdr:col>
      <xdr:colOff>59549</xdr:colOff>
      <xdr:row>98</xdr:row>
      <xdr:rowOff>165746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BAC885-E967-7D1D-1EBC-A6D339FD09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539012" y="8202707"/>
          <a:ext cx="7641449" cy="5235287"/>
        </a:xfrm>
        <a:prstGeom prst="rect">
          <a:avLst/>
        </a:prstGeom>
      </xdr:spPr>
    </xdr:pic>
    <xdr:clientData/>
  </xdr:twoCellAnchor>
  <xdr:twoCellAnchor editAs="oneCell">
    <xdr:from>
      <xdr:col>26</xdr:col>
      <xdr:colOff>138955</xdr:colOff>
      <xdr:row>103</xdr:row>
      <xdr:rowOff>168088</xdr:rowOff>
    </xdr:from>
    <xdr:to>
      <xdr:col>46</xdr:col>
      <xdr:colOff>99336</xdr:colOff>
      <xdr:row>135</xdr:row>
      <xdr:rowOff>35712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134D687-CCBE-4E48-7EA6-D3C02AC900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552396" y="15296029"/>
          <a:ext cx="12062734" cy="5605036"/>
        </a:xfrm>
        <a:prstGeom prst="rect">
          <a:avLst/>
        </a:prstGeom>
      </xdr:spPr>
    </xdr:pic>
    <xdr:clientData/>
  </xdr:twoCellAnchor>
  <xdr:twoCellAnchor>
    <xdr:from>
      <xdr:col>24</xdr:col>
      <xdr:colOff>280145</xdr:colOff>
      <xdr:row>10</xdr:row>
      <xdr:rowOff>68356</xdr:rowOff>
    </xdr:from>
    <xdr:to>
      <xdr:col>35</xdr:col>
      <xdr:colOff>324970</xdr:colOff>
      <xdr:row>43</xdr:row>
      <xdr:rowOff>11206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B3E0F58-6309-C0D7-13A8-738050D1C6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580827</xdr:colOff>
      <xdr:row>3</xdr:row>
      <xdr:rowOff>188455</xdr:rowOff>
    </xdr:from>
    <xdr:to>
      <xdr:col>18</xdr:col>
      <xdr:colOff>306398</xdr:colOff>
      <xdr:row>24</xdr:row>
      <xdr:rowOff>45088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2E0572C-9BAC-2C82-D0F6-C5FF72C6642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23810</xdr:colOff>
      <xdr:row>14</xdr:row>
      <xdr:rowOff>80963</xdr:rowOff>
    </xdr:from>
    <xdr:to>
      <xdr:col>13</xdr:col>
      <xdr:colOff>571499</xdr:colOff>
      <xdr:row>28</xdr:row>
      <xdr:rowOff>133351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E5743C2-7CF8-04EB-B298-B2A99E642A0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904874</xdr:colOff>
      <xdr:row>34</xdr:row>
      <xdr:rowOff>114300</xdr:rowOff>
    </xdr:from>
    <xdr:to>
      <xdr:col>9</xdr:col>
      <xdr:colOff>180975</xdr:colOff>
      <xdr:row>51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B71D2A6-2225-CAB0-3856-4A8214F4EF3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403411</xdr:colOff>
      <xdr:row>34</xdr:row>
      <xdr:rowOff>33617</xdr:rowOff>
    </xdr:from>
    <xdr:to>
      <xdr:col>22</xdr:col>
      <xdr:colOff>206189</xdr:colOff>
      <xdr:row>50</xdr:row>
      <xdr:rowOff>109817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77069086-10D3-4FDB-8D89-85710899F8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481852</xdr:colOff>
      <xdr:row>33</xdr:row>
      <xdr:rowOff>156882</xdr:rowOff>
    </xdr:from>
    <xdr:to>
      <xdr:col>36</xdr:col>
      <xdr:colOff>284630</xdr:colOff>
      <xdr:row>50</xdr:row>
      <xdr:rowOff>42582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F06BFB0-2F5B-4BDB-B8B4-9FE547F646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39</xdr:col>
      <xdr:colOff>1</xdr:colOff>
      <xdr:row>34</xdr:row>
      <xdr:rowOff>112058</xdr:rowOff>
    </xdr:from>
    <xdr:to>
      <xdr:col>51</xdr:col>
      <xdr:colOff>407896</xdr:colOff>
      <xdr:row>50</xdr:row>
      <xdr:rowOff>188258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6FA75E01-2F5B-457C-94E2-A132C6EBA1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53</xdr:col>
      <xdr:colOff>530678</xdr:colOff>
      <xdr:row>34</xdr:row>
      <xdr:rowOff>81643</xdr:rowOff>
    </xdr:from>
    <xdr:to>
      <xdr:col>66</xdr:col>
      <xdr:colOff>326252</xdr:colOff>
      <xdr:row>50</xdr:row>
      <xdr:rowOff>157843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1869374F-FFFA-49D0-ADC0-3F6CEF2CA7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134469</xdr:colOff>
      <xdr:row>64</xdr:row>
      <xdr:rowOff>146795</xdr:rowOff>
    </xdr:from>
    <xdr:to>
      <xdr:col>8</xdr:col>
      <xdr:colOff>67235</xdr:colOff>
      <xdr:row>79</xdr:row>
      <xdr:rowOff>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822CEA0D-AD08-4ABB-3682-77F30F1E38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www.seia.org/research-resources/solar-market-insight-report-2021-year-review" TargetMode="External"/><Relationship Id="rId1" Type="http://schemas.openxmlformats.org/officeDocument/2006/relationships/hyperlink" Target="https://www.woodmac.com/press-releases/u.s.-solar-industry-sets-records-in-2020-on-track-to-quadruple-by-2030/" TargetMode="External"/><Relationship Id="rId5" Type="http://schemas.openxmlformats.org/officeDocument/2006/relationships/comments" Target="../comments5.xml"/><Relationship Id="rId4" Type="http://schemas.openxmlformats.org/officeDocument/2006/relationships/vmlDrawing" Target="../drawings/vmlDrawing5.v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9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0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1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2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8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9.xml"/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0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0.xml"/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1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1.xml"/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2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5.bin"/><Relationship Id="rId1" Type="http://schemas.openxmlformats.org/officeDocument/2006/relationships/hyperlink" Target="https://www.bamsec.com/filing/183165122000008/1?table=18&amp;utm_source=table-download&amp;utm_medium=excel&amp;utm_campaign=tables" TargetMode="External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6.bin"/><Relationship Id="rId1" Type="http://schemas.openxmlformats.org/officeDocument/2006/relationships/hyperlink" Target="https://www.bamsec.com/filing/183165121000010/1?table=6&amp;utm_source=table-download&amp;utm_medium=excel&amp;utm_campaign=tables" TargetMode="External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7.bin"/><Relationship Id="rId1" Type="http://schemas.openxmlformats.org/officeDocument/2006/relationships/hyperlink" Target="https://www.bamsec.com/filing/183165121000017/1?table=6&amp;utm_source=table-download&amp;utm_medium=excel&amp;utm_campaign=tables" TargetMode="External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8.bin"/><Relationship Id="rId1" Type="http://schemas.openxmlformats.org/officeDocument/2006/relationships/hyperlink" Target="https://www.bamsec.com/filing/183165121000027/1?table=6&amp;utm_source=table-download&amp;utm_medium=excel&amp;utm_campaign=tables" TargetMode="External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hyperlink" Target="https://www.bamsec.com/filing/183165122000032/1?table=6&amp;utm_source=table-download&amp;utm_medium=excel&amp;utm_campaign=tables" TargetMode="External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0.bin"/><Relationship Id="rId1" Type="http://schemas.openxmlformats.org/officeDocument/2006/relationships/hyperlink" Target="https://www.bamsec.com/filing/183165122000048/1?table=6&amp;utm_source=table-download&amp;utm_medium=excel&amp;utm_campaign=tables" TargetMode="Externa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hyperlink" Target="https://www.bamsec.com/filing/183165121000003/1?table=22&amp;utm_source=table-download&amp;utm_medium=excel&amp;utm_campaign=tables" TargetMode="External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3.bin"/><Relationship Id="rId1" Type="http://schemas.openxmlformats.org/officeDocument/2006/relationships/hyperlink" Target="https://www.bamsec.com/filing/183165121000010/1?table=5&amp;utm_source=table-download&amp;utm_medium=excel&amp;utm_campaign=tables" TargetMode="External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hyperlink" Target="https://www.bamsec.com/filing/183165121000017/1?table=5&amp;utm_source=table-download&amp;utm_medium=excel&amp;utm_campaign=tables" TargetMode="External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5.bin"/><Relationship Id="rId1" Type="http://schemas.openxmlformats.org/officeDocument/2006/relationships/hyperlink" Target="https://www.bamsec.com/filing/183165121000027/1?table=5&amp;utm_source=table-download&amp;utm_medium=excel&amp;utm_campaign=tables" TargetMode="External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6.bin"/><Relationship Id="rId1" Type="http://schemas.openxmlformats.org/officeDocument/2006/relationships/hyperlink" Target="https://www.bamsec.com/filing/183165122000008/1?table=17&amp;utm_source=table-download&amp;utm_medium=excel&amp;utm_campaign=tables" TargetMode="External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7.bin"/><Relationship Id="rId1" Type="http://schemas.openxmlformats.org/officeDocument/2006/relationships/hyperlink" Target="https://www.bamsec.com/filing/183165122000032/1?table=5&amp;utm_source=table-download&amp;utm_medium=excel&amp;utm_campaign=tables" TargetMode="External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hyperlink" Target="https://www.bamsec.com/filing/183165122000048/1?table=5&amp;utm_source=table-download&amp;utm_medium=excel&amp;utm_campaign=tables" TargetMode="Externa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0.bin"/><Relationship Id="rId1" Type="http://schemas.openxmlformats.org/officeDocument/2006/relationships/hyperlink" Target="https://www.bamsec.com/filing/183165121000003/1?table=25&amp;utm_source=table-download&amp;utm_medium=excel&amp;utm_campaign=tables" TargetMode="External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1.bin"/><Relationship Id="rId1" Type="http://schemas.openxmlformats.org/officeDocument/2006/relationships/hyperlink" Target="https://www.bamsec.com/filing/183165121000010/1?table=9&amp;utm_source=table-download&amp;utm_medium=excel&amp;utm_campaign=tables" TargetMode="External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hyperlink" Target="https://www.bamsec.com/filing/183165121000017/1?table=9&amp;utm_source=table-download&amp;utm_medium=excel&amp;utm_campaign=tables" TargetMode="External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3.bin"/><Relationship Id="rId1" Type="http://schemas.openxmlformats.org/officeDocument/2006/relationships/hyperlink" Target="https://www.bamsec.com/filing/183165121000027/1?table=10&amp;utm_source=table-download&amp;utm_medium=excel&amp;utm_campaign=tables" TargetMode="External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4.bin"/><Relationship Id="rId1" Type="http://schemas.openxmlformats.org/officeDocument/2006/relationships/hyperlink" Target="https://www.bamsec.com/filing/183165122000008/1?table=21&amp;utm_source=table-download&amp;utm_medium=excel&amp;utm_campaign=tables" TargetMode="External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5.bin"/><Relationship Id="rId1" Type="http://schemas.openxmlformats.org/officeDocument/2006/relationships/hyperlink" Target="https://www.bamsec.com/filing/183165122000032/1?table=9&amp;utm_source=table-download&amp;utm_medium=excel&amp;utm_campaign=tables" TargetMode="External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6.bin"/><Relationship Id="rId1" Type="http://schemas.openxmlformats.org/officeDocument/2006/relationships/hyperlink" Target="https://www.bamsec.com/filing/183165122000048/1?table=9&amp;utm_source=table-download&amp;utm_medium=excel&amp;utm_campaign=tables" TargetMode="External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6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2.xml"/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4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3:G35"/>
  <sheetViews>
    <sheetView tabSelected="1" workbookViewId="0"/>
  </sheetViews>
  <sheetFormatPr defaultRowHeight="14.25" x14ac:dyDescent="0.2"/>
  <cols>
    <col min="1" max="1" width="9.140625" style="1"/>
    <col min="2" max="2" width="50.5703125" style="1" bestFit="1" customWidth="1"/>
    <col min="3" max="10" width="9.140625" style="1"/>
    <col min="11" max="11" width="6.85546875" style="1" customWidth="1"/>
    <col min="12" max="16384" width="9.140625" style="1"/>
  </cols>
  <sheetData>
    <row r="33" spans="2:7" ht="35.25" x14ac:dyDescent="0.5">
      <c r="B33" s="2" t="s">
        <v>82</v>
      </c>
      <c r="C33" s="3"/>
      <c r="D33" s="3"/>
    </row>
    <row r="34" spans="2:7" ht="34.5" x14ac:dyDescent="0.45">
      <c r="B34" s="3"/>
      <c r="C34" s="3"/>
      <c r="D34" s="3"/>
    </row>
    <row r="35" spans="2:7" ht="35.25" x14ac:dyDescent="0.5">
      <c r="B35" s="49">
        <v>44862</v>
      </c>
      <c r="C35" s="5"/>
      <c r="D35" s="4" t="s">
        <v>83</v>
      </c>
      <c r="G35" s="50" t="s">
        <v>1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T21"/>
  <sheetViews>
    <sheetView workbookViewId="0">
      <selection activeCell="H29" sqref="H29"/>
    </sheetView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20" ht="15" x14ac:dyDescent="0.25">
      <c r="B3" s="6" t="s">
        <v>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5" spans="2:20" x14ac:dyDescent="0.2">
      <c r="B5" s="1" t="s">
        <v>5</v>
      </c>
      <c r="C5" s="18" t="s">
        <v>1</v>
      </c>
    </row>
    <row r="6" spans="2:20" x14ac:dyDescent="0.2">
      <c r="B6" s="1" t="s">
        <v>6</v>
      </c>
      <c r="C6" s="20">
        <v>22.21</v>
      </c>
    </row>
    <row r="7" spans="2:20" x14ac:dyDescent="0.2">
      <c r="B7" s="1" t="s">
        <v>7</v>
      </c>
      <c r="C7" s="82">
        <f>Cover!$B$35</f>
        <v>44862</v>
      </c>
    </row>
    <row r="8" spans="2:20" x14ac:dyDescent="0.2">
      <c r="B8" s="1" t="s">
        <v>20</v>
      </c>
      <c r="C8" s="17">
        <f>112.667006+54.534591</f>
        <v>167.20159699999999</v>
      </c>
    </row>
    <row r="10" spans="2:20" ht="15" thickBot="1" x14ac:dyDescent="0.25"/>
    <row r="11" spans="2:20" ht="15" x14ac:dyDescent="0.25">
      <c r="B11" s="9"/>
      <c r="C11" s="10"/>
      <c r="D11" s="11" t="s">
        <v>9</v>
      </c>
      <c r="E11" s="11" t="s">
        <v>10</v>
      </c>
      <c r="F11" s="11" t="s">
        <v>11</v>
      </c>
      <c r="G11" s="12" t="s">
        <v>12</v>
      </c>
      <c r="I11" s="29" t="s">
        <v>8</v>
      </c>
      <c r="J11" s="28"/>
      <c r="K11" s="28"/>
      <c r="L11" s="482"/>
    </row>
    <row r="12" spans="2:20" x14ac:dyDescent="0.2">
      <c r="B12" s="1" t="s">
        <v>26</v>
      </c>
      <c r="D12" s="48">
        <v>1.810853</v>
      </c>
      <c r="F12" s="1">
        <f>IF(E12&gt;$C$6,0,1)</f>
        <v>1</v>
      </c>
      <c r="G12" s="1">
        <f>F12*E12*D12</f>
        <v>0</v>
      </c>
      <c r="I12" s="1" t="str">
        <f>"Current Price (as of "&amp;TEXT(C7,"m/d/yy")&amp;")"</f>
        <v>Current Price (as of 10/28/22)</v>
      </c>
      <c r="L12" s="483">
        <f>C6</f>
        <v>22.21</v>
      </c>
    </row>
    <row r="13" spans="2:20" x14ac:dyDescent="0.2">
      <c r="B13" s="1" t="s">
        <v>27</v>
      </c>
      <c r="D13" s="48">
        <v>0.24290700000000001</v>
      </c>
      <c r="F13" s="1">
        <f>IF(E13&gt;$C$6,0,1)</f>
        <v>1</v>
      </c>
      <c r="G13" s="1">
        <f>F13*E13*D13</f>
        <v>0</v>
      </c>
      <c r="I13" s="15" t="s">
        <v>18</v>
      </c>
      <c r="J13" s="15"/>
      <c r="K13" s="15"/>
      <c r="L13" s="484">
        <v>0</v>
      </c>
    </row>
    <row r="14" spans="2:20" x14ac:dyDescent="0.2">
      <c r="I14" s="1" t="s">
        <v>21</v>
      </c>
      <c r="L14" s="483">
        <f>L12*(1+L13)</f>
        <v>22.21</v>
      </c>
    </row>
    <row r="15" spans="2:20" x14ac:dyDescent="0.2">
      <c r="B15" s="13" t="s">
        <v>13</v>
      </c>
      <c r="C15" s="13"/>
      <c r="D15" s="24">
        <f>SUM(D12:D14)</f>
        <v>2.05376</v>
      </c>
      <c r="E15" s="13"/>
      <c r="F15" s="13"/>
      <c r="G15" s="13">
        <f>SUM(G12:G14)</f>
        <v>0</v>
      </c>
      <c r="I15" s="1" t="s">
        <v>19</v>
      </c>
      <c r="L15" s="485">
        <f>G20</f>
        <v>169.255357</v>
      </c>
    </row>
    <row r="16" spans="2:20" ht="15" x14ac:dyDescent="0.25">
      <c r="B16" s="1" t="s">
        <v>14</v>
      </c>
      <c r="D16" s="25">
        <f>SUMPRODUCT(D12:D14,F12:F14)</f>
        <v>2.05376</v>
      </c>
      <c r="H16" s="21"/>
      <c r="I16" s="14" t="s">
        <v>22</v>
      </c>
      <c r="J16" s="14"/>
      <c r="K16" s="14"/>
      <c r="L16" s="486">
        <f>L14*L15</f>
        <v>3759.1614789700002</v>
      </c>
    </row>
    <row r="17" spans="2:12" x14ac:dyDescent="0.2">
      <c r="I17" s="1" t="s">
        <v>23</v>
      </c>
      <c r="L17" s="487">
        <f>189.515+2+85.14</f>
        <v>276.65499999999997</v>
      </c>
    </row>
    <row r="18" spans="2:12" x14ac:dyDescent="0.2">
      <c r="B18" s="1" t="s">
        <v>15</v>
      </c>
      <c r="G18" s="25">
        <f>G15/C6</f>
        <v>0</v>
      </c>
      <c r="I18" s="1" t="s">
        <v>28</v>
      </c>
      <c r="L18" s="487">
        <v>-6.7140000000000004</v>
      </c>
    </row>
    <row r="19" spans="2:12" x14ac:dyDescent="0.2">
      <c r="B19" s="1" t="s">
        <v>16</v>
      </c>
      <c r="G19" s="25">
        <f>D16-G18</f>
        <v>2.05376</v>
      </c>
      <c r="I19" s="1" t="s">
        <v>24</v>
      </c>
      <c r="L19" s="487">
        <f>-10.094</f>
        <v>-10.093999999999999</v>
      </c>
    </row>
    <row r="20" spans="2:12" ht="15" x14ac:dyDescent="0.25">
      <c r="B20" s="14" t="s">
        <v>17</v>
      </c>
      <c r="C20" s="14"/>
      <c r="D20" s="14"/>
      <c r="E20" s="14"/>
      <c r="F20" s="14"/>
      <c r="G20" s="26">
        <f>C8+G19</f>
        <v>169.255357</v>
      </c>
      <c r="I20" s="14" t="s">
        <v>25</v>
      </c>
      <c r="J20" s="14"/>
      <c r="K20" s="14"/>
      <c r="L20" s="486">
        <f>SUM(L16:L19)</f>
        <v>4019.0084789700004</v>
      </c>
    </row>
    <row r="21" spans="2:12" ht="15" x14ac:dyDescent="0.25">
      <c r="H21" s="22"/>
    </row>
  </sheetData>
  <pageMargins left="0.7" right="0.7" top="0.75" bottom="0.75" header="0.3" footer="0.3"/>
  <pageSetup orientation="portrait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1"/>
  </sheetPr>
  <dimension ref="A1:K4"/>
  <sheetViews>
    <sheetView workbookViewId="0"/>
  </sheetViews>
  <sheetFormatPr defaultRowHeight="15" x14ac:dyDescent="0.25"/>
  <sheetData>
    <row r="1" spans="1:11" x14ac:dyDescent="0.25">
      <c r="A1" t="s">
        <v>0</v>
      </c>
    </row>
    <row r="4" spans="1:11" x14ac:dyDescent="0.25">
      <c r="K4" s="1"/>
    </row>
  </sheetData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1"/>
  </sheetPr>
  <dimension ref="B2:AA90"/>
  <sheetViews>
    <sheetView zoomScale="85" zoomScaleNormal="85" workbookViewId="0"/>
  </sheetViews>
  <sheetFormatPr defaultRowHeight="14.25" outlineLevelRow="1" x14ac:dyDescent="0.2"/>
  <cols>
    <col min="1" max="1" width="9.140625" style="1"/>
    <col min="2" max="2" width="34.85546875" style="1" bestFit="1" customWidth="1"/>
    <col min="3" max="3" width="1.140625" style="1" customWidth="1"/>
    <col min="4" max="5" width="9.140625" style="1"/>
    <col min="6" max="6" width="9.140625" style="237"/>
    <col min="7" max="12" width="9.140625" style="1"/>
    <col min="13" max="13" width="1.140625" style="1" customWidth="1"/>
    <col min="14" max="14" width="12.28515625" style="1" bestFit="1" customWidth="1"/>
    <col min="15" max="19" width="9.140625" style="1"/>
    <col min="20" max="20" width="9.140625" style="239"/>
    <col min="21" max="16384" width="9.140625" style="1"/>
  </cols>
  <sheetData>
    <row r="2" spans="2:27" ht="15" x14ac:dyDescent="0.25">
      <c r="B2" s="143" t="s">
        <v>87</v>
      </c>
      <c r="D2" s="6"/>
      <c r="E2" s="6"/>
      <c r="F2" s="226"/>
      <c r="G2" s="6"/>
      <c r="H2" s="6"/>
      <c r="I2" s="6"/>
      <c r="J2" s="6"/>
      <c r="K2" s="6"/>
      <c r="L2" s="6"/>
      <c r="N2" s="227">
        <v>2021</v>
      </c>
      <c r="O2" s="227"/>
      <c r="P2" s="227"/>
      <c r="Q2" s="227"/>
      <c r="R2" s="227">
        <v>2022</v>
      </c>
      <c r="S2" s="227"/>
      <c r="T2" s="228"/>
      <c r="U2" s="227"/>
      <c r="V2" s="227">
        <v>2023</v>
      </c>
      <c r="W2" s="227"/>
      <c r="X2" s="227"/>
      <c r="Y2" s="227"/>
    </row>
    <row r="3" spans="2:27" ht="15" x14ac:dyDescent="0.25">
      <c r="B3" s="6"/>
      <c r="D3" s="146">
        <v>2019</v>
      </c>
      <c r="E3" s="146">
        <v>2020</v>
      </c>
      <c r="F3" s="229">
        <v>2021</v>
      </c>
      <c r="G3" s="148">
        <v>2022</v>
      </c>
      <c r="H3" s="146">
        <v>2023</v>
      </c>
      <c r="I3" s="146">
        <f>H3+1</f>
        <v>2024</v>
      </c>
      <c r="J3" s="146">
        <f>I3+1</f>
        <v>2025</v>
      </c>
      <c r="K3" s="146">
        <f>J3+1</f>
        <v>2026</v>
      </c>
      <c r="L3" s="146">
        <f>K3+1</f>
        <v>2027</v>
      </c>
      <c r="N3" s="146" t="s">
        <v>77</v>
      </c>
      <c r="O3" s="146" t="s">
        <v>78</v>
      </c>
      <c r="P3" s="146" t="s">
        <v>79</v>
      </c>
      <c r="Q3" s="146" t="s">
        <v>80</v>
      </c>
      <c r="R3" s="146" t="s">
        <v>77</v>
      </c>
      <c r="S3" s="230" t="s">
        <v>78</v>
      </c>
      <c r="T3" s="231" t="s">
        <v>79</v>
      </c>
      <c r="U3" s="146" t="s">
        <v>80</v>
      </c>
      <c r="V3" s="146" t="s">
        <v>77</v>
      </c>
      <c r="W3" s="146" t="s">
        <v>78</v>
      </c>
      <c r="X3" s="146" t="s">
        <v>79</v>
      </c>
      <c r="Y3" s="146" t="s">
        <v>80</v>
      </c>
    </row>
    <row r="4" spans="2:27" ht="15" x14ac:dyDescent="0.25">
      <c r="B4" s="6"/>
      <c r="D4" s="149">
        <v>43818</v>
      </c>
      <c r="E4" s="149">
        <f>D4+365</f>
        <v>44183</v>
      </c>
      <c r="F4" s="232">
        <f>E4+365</f>
        <v>44548</v>
      </c>
      <c r="G4" s="151">
        <f t="shared" ref="G4:L4" si="0">F4+365</f>
        <v>44913</v>
      </c>
      <c r="H4" s="149">
        <f t="shared" si="0"/>
        <v>45278</v>
      </c>
      <c r="I4" s="149">
        <f t="shared" si="0"/>
        <v>45643</v>
      </c>
      <c r="J4" s="149">
        <f t="shared" si="0"/>
        <v>46008</v>
      </c>
      <c r="K4" s="149">
        <f t="shared" si="0"/>
        <v>46373</v>
      </c>
      <c r="L4" s="149">
        <f t="shared" si="0"/>
        <v>46738</v>
      </c>
      <c r="N4" s="149">
        <v>44286</v>
      </c>
      <c r="O4" s="149">
        <f>N4+90</f>
        <v>44376</v>
      </c>
      <c r="P4" s="149">
        <f>O4+90</f>
        <v>44466</v>
      </c>
      <c r="Q4" s="149">
        <f>P4+90</f>
        <v>44556</v>
      </c>
      <c r="R4" s="149">
        <f t="shared" ref="R4:Y4" si="1">Q4+90</f>
        <v>44646</v>
      </c>
      <c r="S4" s="233">
        <f t="shared" si="1"/>
        <v>44736</v>
      </c>
      <c r="T4" s="234">
        <f t="shared" si="1"/>
        <v>44826</v>
      </c>
      <c r="U4" s="149">
        <f t="shared" si="1"/>
        <v>44916</v>
      </c>
      <c r="V4" s="149">
        <f t="shared" si="1"/>
        <v>45006</v>
      </c>
      <c r="W4" s="149">
        <f t="shared" si="1"/>
        <v>45096</v>
      </c>
      <c r="X4" s="149">
        <f t="shared" si="1"/>
        <v>45186</v>
      </c>
      <c r="Y4" s="149">
        <f t="shared" si="1"/>
        <v>45276</v>
      </c>
    </row>
    <row r="5" spans="2:27" ht="15" x14ac:dyDescent="0.25">
      <c r="B5" s="6" t="s">
        <v>3</v>
      </c>
      <c r="D5" s="152" t="s">
        <v>90</v>
      </c>
      <c r="E5" s="152" t="s">
        <v>90</v>
      </c>
      <c r="F5" s="235" t="s">
        <v>90</v>
      </c>
      <c r="G5" s="154" t="s">
        <v>91</v>
      </c>
      <c r="H5" s="152" t="s">
        <v>91</v>
      </c>
      <c r="I5" s="152" t="s">
        <v>91</v>
      </c>
      <c r="J5" s="152" t="s">
        <v>91</v>
      </c>
      <c r="K5" s="152" t="s">
        <v>91</v>
      </c>
      <c r="L5" s="152" t="s">
        <v>91</v>
      </c>
      <c r="N5" s="152" t="s">
        <v>90</v>
      </c>
      <c r="O5" s="152" t="s">
        <v>90</v>
      </c>
      <c r="P5" s="152" t="s">
        <v>90</v>
      </c>
      <c r="Q5" s="152" t="s">
        <v>90</v>
      </c>
      <c r="R5" s="152" t="s">
        <v>90</v>
      </c>
      <c r="S5" s="236" t="s">
        <v>90</v>
      </c>
      <c r="T5" s="236" t="s">
        <v>91</v>
      </c>
      <c r="U5" s="236" t="s">
        <v>91</v>
      </c>
      <c r="V5" s="236" t="s">
        <v>91</v>
      </c>
      <c r="W5" s="236" t="s">
        <v>91</v>
      </c>
      <c r="X5" s="236" t="s">
        <v>91</v>
      </c>
      <c r="Y5" s="236" t="s">
        <v>91</v>
      </c>
    </row>
    <row r="6" spans="2:27" x14ac:dyDescent="0.2">
      <c r="T6" s="238"/>
      <c r="U6" s="160"/>
      <c r="V6" s="160"/>
      <c r="W6" s="160"/>
      <c r="X6" s="160"/>
      <c r="Y6" s="160"/>
    </row>
    <row r="7" spans="2:27" ht="15" x14ac:dyDescent="0.25">
      <c r="B7" s="210" t="s">
        <v>279</v>
      </c>
    </row>
    <row r="9" spans="2:27" x14ac:dyDescent="0.2">
      <c r="B9" s="179" t="s">
        <v>280</v>
      </c>
    </row>
    <row r="10" spans="2:27" x14ac:dyDescent="0.2">
      <c r="B10" s="1" t="s">
        <v>281</v>
      </c>
      <c r="D10" s="160">
        <f>'BS FY18-20'!C5/1000</f>
        <v>7.0819999999999999</v>
      </c>
      <c r="E10" s="160">
        <f>'BS FY18-20'!B5/1000</f>
        <v>10.073</v>
      </c>
      <c r="F10" s="240">
        <f>Q10</f>
        <v>5.0060000000000002</v>
      </c>
      <c r="G10" s="160">
        <f ca="1">U10</f>
        <v>30.094000000000026</v>
      </c>
      <c r="H10" s="160">
        <f ca="1">Y10</f>
        <v>70.094000000000008</v>
      </c>
      <c r="I10" s="180">
        <f ca="1">+CF!I40</f>
        <v>168.66345490802803</v>
      </c>
      <c r="J10" s="180">
        <f ca="1">+CF!J40</f>
        <v>293.8162101002311</v>
      </c>
      <c r="K10" s="180">
        <f ca="1">+CF!K40</f>
        <v>445.54292327203677</v>
      </c>
      <c r="L10" s="180">
        <f ca="1">+CF!L40</f>
        <v>622.87717844475185</v>
      </c>
      <c r="N10" s="160">
        <f>'BS 1Q21'!B4/1000</f>
        <v>4.2270000000000003</v>
      </c>
      <c r="O10" s="160">
        <f>'BS 2Q21'!B4/1000</f>
        <v>13.170999999999999</v>
      </c>
      <c r="P10" s="160">
        <f>'BS 3Q21'!B4/1000</f>
        <v>14.189</v>
      </c>
      <c r="Q10" s="160">
        <f>'BS FY21'!B5/1000</f>
        <v>5.0060000000000002</v>
      </c>
      <c r="R10" s="160">
        <f>'BS 1Q22'!B4/1000</f>
        <v>2.5339999999999998</v>
      </c>
      <c r="S10" s="160">
        <f>'BS 2Q22'!B4/1000</f>
        <v>10.093999999999999</v>
      </c>
      <c r="T10" s="241">
        <f ca="1">+CF!T40</f>
        <v>20.093999999999994</v>
      </c>
      <c r="U10" s="242">
        <f ca="1">+CF!U40</f>
        <v>30.094000000000026</v>
      </c>
      <c r="V10" s="242">
        <f ca="1">+CF!V40</f>
        <v>40.09399999999998</v>
      </c>
      <c r="W10" s="242">
        <f ca="1">+CF!W40</f>
        <v>50.09399999999998</v>
      </c>
      <c r="X10" s="242">
        <f ca="1">+CF!X40</f>
        <v>60.094000000000023</v>
      </c>
      <c r="Y10" s="242">
        <f ca="1">+CF!Y40</f>
        <v>70.094000000000008</v>
      </c>
    </row>
    <row r="11" spans="2:27" x14ac:dyDescent="0.2">
      <c r="B11" s="1" t="s">
        <v>282</v>
      </c>
      <c r="D11" s="64">
        <f>'BS FY18-20'!C6/1000</f>
        <v>27.292000000000002</v>
      </c>
      <c r="E11" s="64">
        <f>'BS FY18-20'!B6/1000</f>
        <v>27.004000000000001</v>
      </c>
      <c r="F11" s="243">
        <f>Q11</f>
        <v>31.498999999999999</v>
      </c>
      <c r="G11" s="64">
        <f>U11</f>
        <v>44.755178082191769</v>
      </c>
      <c r="H11" s="64">
        <f>Y11</f>
        <v>67.13276712328765</v>
      </c>
      <c r="I11" s="216">
        <f>I62</f>
        <v>83.488992486338816</v>
      </c>
      <c r="J11" s="216">
        <f>J62</f>
        <v>104.64716181506851</v>
      </c>
      <c r="K11" s="216">
        <f>K62</f>
        <v>125.5765941780822</v>
      </c>
      <c r="L11" s="216">
        <f>L62</f>
        <v>144.41308330479453</v>
      </c>
      <c r="N11" s="64">
        <f>'BS 1Q21'!B5/1000</f>
        <v>28.138000000000002</v>
      </c>
      <c r="O11" s="64">
        <f>'BS 2Q21'!B5/1000</f>
        <v>42.976999999999997</v>
      </c>
      <c r="P11" s="64">
        <f>'BS 3Q21'!B5/1000</f>
        <v>44.588000000000001</v>
      </c>
      <c r="Q11" s="64">
        <f>'BS FY21'!B6/1000</f>
        <v>31.498999999999999</v>
      </c>
      <c r="R11" s="64">
        <f>'BS 1Q22'!B5/1000</f>
        <v>56.887</v>
      </c>
      <c r="S11" s="64">
        <f>'BS 2Q22'!B5/1000</f>
        <v>57.826999999999998</v>
      </c>
      <c r="T11" s="244">
        <f t="shared" ref="T11:Y11" si="2">T62</f>
        <v>55.741369863013702</v>
      </c>
      <c r="U11" s="64">
        <f t="shared" si="2"/>
        <v>44.755178082191769</v>
      </c>
      <c r="V11" s="64">
        <f t="shared" si="2"/>
        <v>63.320109589041088</v>
      </c>
      <c r="W11" s="64">
        <f t="shared" si="2"/>
        <v>68.26939890710382</v>
      </c>
      <c r="X11" s="64">
        <f t="shared" si="2"/>
        <v>83.612054794520546</v>
      </c>
      <c r="Y11" s="64">
        <f t="shared" si="2"/>
        <v>67.13276712328765</v>
      </c>
      <c r="Z11" s="1" t="s">
        <v>419</v>
      </c>
    </row>
    <row r="12" spans="2:27" x14ac:dyDescent="0.2">
      <c r="B12" s="1" t="s">
        <v>283</v>
      </c>
      <c r="D12" s="64">
        <f>'BS FY18-20'!C7/1000</f>
        <v>2.5049999999999999</v>
      </c>
      <c r="E12" s="64">
        <f>'BS FY18-20'!B7/1000</f>
        <v>3.794</v>
      </c>
      <c r="F12" s="243">
        <f>Q12</f>
        <v>13.532999999999999</v>
      </c>
      <c r="G12" s="64">
        <f>U12</f>
        <v>13.163287671232874</v>
      </c>
      <c r="H12" s="64">
        <f>Y12</f>
        <v>19.744931506849312</v>
      </c>
      <c r="I12" s="216">
        <f>I65</f>
        <v>25.046697745901639</v>
      </c>
      <c r="J12" s="216">
        <f>J65</f>
        <v>31.394148544520551</v>
      </c>
      <c r="K12" s="216">
        <f>K65</f>
        <v>37.67297825342466</v>
      </c>
      <c r="L12" s="216">
        <f>L65</f>
        <v>43.323924991438354</v>
      </c>
      <c r="N12" s="64">
        <f>'BS 1Q21'!B6/1000</f>
        <v>9.9949999999999992</v>
      </c>
      <c r="O12" s="64">
        <f>'BS 2Q21'!B6/1000</f>
        <v>6.7969999999999997</v>
      </c>
      <c r="P12" s="64">
        <f>'BS 3Q21'!B6/1000</f>
        <v>10.554</v>
      </c>
      <c r="Q12" s="64">
        <f>'BS FY21'!B7/1000</f>
        <v>13.532999999999999</v>
      </c>
      <c r="R12" s="64">
        <f>'BS 1Q22'!B6/1000</f>
        <v>16.149000000000001</v>
      </c>
      <c r="S12" s="64">
        <f>'BS 2Q22'!B6/1000</f>
        <v>14.58</v>
      </c>
      <c r="T12" s="244">
        <f t="shared" ref="T12:Y12" si="3">T65</f>
        <v>16.394520547945206</v>
      </c>
      <c r="U12" s="64">
        <f t="shared" si="3"/>
        <v>13.163287671232874</v>
      </c>
      <c r="V12" s="64">
        <f t="shared" si="3"/>
        <v>18.623561643835615</v>
      </c>
      <c r="W12" s="64">
        <f t="shared" si="3"/>
        <v>20.079234972677597</v>
      </c>
      <c r="X12" s="64">
        <f t="shared" si="3"/>
        <v>24.591780821917808</v>
      </c>
      <c r="Y12" s="64">
        <f t="shared" si="3"/>
        <v>19.744931506849312</v>
      </c>
      <c r="Z12" s="1" t="s">
        <v>419</v>
      </c>
    </row>
    <row r="13" spans="2:27" x14ac:dyDescent="0.2">
      <c r="B13" s="1" t="s">
        <v>284</v>
      </c>
      <c r="D13" s="64">
        <f>'BS FY18-20'!C8/1000</f>
        <v>8.8339999999999996</v>
      </c>
      <c r="E13" s="64">
        <f>'BS FY18-20'!B8/1000</f>
        <v>15.121</v>
      </c>
      <c r="F13" s="243">
        <f>Q13</f>
        <v>38.368000000000002</v>
      </c>
      <c r="G13" s="64">
        <f>U13</f>
        <v>52.804931506849343</v>
      </c>
      <c r="H13" s="64">
        <f>Y13</f>
        <v>74.04349315068491</v>
      </c>
      <c r="I13" s="216">
        <f>I68</f>
        <v>62.616744364754105</v>
      </c>
      <c r="J13" s="216">
        <f>J68</f>
        <v>78.799312846746574</v>
      </c>
      <c r="K13" s="216">
        <f>K68</f>
        <v>94.935905198630124</v>
      </c>
      <c r="L13" s="216">
        <f>L68</f>
        <v>109.60953022833903</v>
      </c>
      <c r="N13" s="64">
        <f>'BS 1Q21'!B7/1000</f>
        <v>21.091999999999999</v>
      </c>
      <c r="O13" s="64">
        <f>'BS 2Q21'!B7/1000</f>
        <v>21.271999999999998</v>
      </c>
      <c r="P13" s="64">
        <f>'BS 3Q21'!B7/1000</f>
        <v>27.832000000000001</v>
      </c>
      <c r="Q13" s="64">
        <f>'BS FY21'!B8/1000</f>
        <v>38.368000000000002</v>
      </c>
      <c r="R13" s="64">
        <f>'BS 1Q22'!B7/1000</f>
        <v>49.478999999999999</v>
      </c>
      <c r="S13" s="64">
        <f>'BS 2Q22'!B7/1000</f>
        <v>64.960999999999999</v>
      </c>
      <c r="T13" s="244">
        <f t="shared" ref="T13:Y13" si="4">T68</f>
        <v>62.58246575342465</v>
      </c>
      <c r="U13" s="64">
        <f t="shared" si="4"/>
        <v>52.804931506849343</v>
      </c>
      <c r="V13" s="64">
        <f t="shared" si="4"/>
        <v>68.52164383561643</v>
      </c>
      <c r="W13" s="64">
        <f t="shared" si="4"/>
        <v>73.601639344262296</v>
      </c>
      <c r="X13" s="64">
        <f t="shared" si="4"/>
        <v>92.219178082191775</v>
      </c>
      <c r="Y13" s="64">
        <f t="shared" si="4"/>
        <v>74.04349315068491</v>
      </c>
      <c r="Z13" s="1" t="s">
        <v>419</v>
      </c>
    </row>
    <row r="14" spans="2:27" x14ac:dyDescent="0.2">
      <c r="B14" s="1" t="s">
        <v>285</v>
      </c>
      <c r="D14" s="64">
        <f>'BS FY18-20'!C9/1000</f>
        <v>0.79800000000000004</v>
      </c>
      <c r="E14" s="64">
        <f>'BS FY18-20'!B9/1000</f>
        <v>0.155</v>
      </c>
      <c r="F14" s="243">
        <f>Q14</f>
        <v>5.0419999999999998</v>
      </c>
      <c r="G14" s="64">
        <f>U14</f>
        <v>7.2068999999999983</v>
      </c>
      <c r="H14" s="64">
        <f>Y14</f>
        <v>10.810349999999998</v>
      </c>
      <c r="I14" s="216">
        <f>I71</f>
        <v>18.33418275</v>
      </c>
      <c r="J14" s="216">
        <f>J71</f>
        <v>22.917728437500003</v>
      </c>
      <c r="K14" s="216">
        <f>K71</f>
        <v>27.501274125000002</v>
      </c>
      <c r="L14" s="216">
        <f>L71</f>
        <v>31.626465243750001</v>
      </c>
      <c r="N14" s="64">
        <f>'BS 1Q21'!B8/1000</f>
        <v>6.5119999999999996</v>
      </c>
      <c r="O14" s="64">
        <f>'BS 2Q21'!B8/1000</f>
        <v>7.2919999999999998</v>
      </c>
      <c r="P14" s="64">
        <f>'BS 3Q21'!B8/1000</f>
        <v>11.706</v>
      </c>
      <c r="Q14" s="64">
        <f>'BS FY21'!B9/1000</f>
        <v>5.0419999999999998</v>
      </c>
      <c r="R14" s="64">
        <f>'BS 1Q22'!B8/1000</f>
        <v>12.651</v>
      </c>
      <c r="S14" s="64">
        <f>'BS 2Q22'!B8/1000</f>
        <v>8.827</v>
      </c>
      <c r="T14" s="244">
        <f t="shared" ref="T14:Y14" si="5">T71</f>
        <v>8.9760000000000009</v>
      </c>
      <c r="U14" s="64">
        <f t="shared" si="5"/>
        <v>7.2068999999999983</v>
      </c>
      <c r="V14" s="64">
        <f t="shared" si="5"/>
        <v>10.196399999999999</v>
      </c>
      <c r="W14" s="64">
        <f t="shared" si="5"/>
        <v>11.023499999999999</v>
      </c>
      <c r="X14" s="64">
        <f t="shared" si="5"/>
        <v>13.464</v>
      </c>
      <c r="Y14" s="64">
        <f t="shared" si="5"/>
        <v>10.810349999999998</v>
      </c>
      <c r="Z14" s="1" t="s">
        <v>419</v>
      </c>
      <c r="AA14" s="80"/>
    </row>
    <row r="15" spans="2:27" s="73" customFormat="1" ht="15" x14ac:dyDescent="0.25">
      <c r="B15" s="245" t="s">
        <v>133</v>
      </c>
      <c r="C15" s="245"/>
      <c r="D15" s="246">
        <f>SUM(D10:D14)</f>
        <v>46.51100000000001</v>
      </c>
      <c r="E15" s="246">
        <f>SUM(E10:E14)</f>
        <v>56.146999999999998</v>
      </c>
      <c r="F15" s="247">
        <f t="shared" ref="F15:L15" si="6">SUM(F10:F14)</f>
        <v>93.448000000000008</v>
      </c>
      <c r="G15" s="246">
        <f t="shared" ca="1" si="6"/>
        <v>148.02429726027401</v>
      </c>
      <c r="H15" s="246">
        <f t="shared" ca="1" si="6"/>
        <v>241.82554178082191</v>
      </c>
      <c r="I15" s="246">
        <f t="shared" ca="1" si="6"/>
        <v>358.15007225502256</v>
      </c>
      <c r="J15" s="246">
        <f t="shared" ca="1" si="6"/>
        <v>531.57456174406673</v>
      </c>
      <c r="K15" s="246">
        <f t="shared" ca="1" si="6"/>
        <v>731.22967502717381</v>
      </c>
      <c r="L15" s="246">
        <f t="shared" ca="1" si="6"/>
        <v>951.85018221307382</v>
      </c>
      <c r="M15" s="245"/>
      <c r="N15" s="246">
        <f t="shared" ref="N15:Y15" si="7">SUM(N10:N14)</f>
        <v>69.963999999999999</v>
      </c>
      <c r="O15" s="246">
        <f t="shared" si="7"/>
        <v>91.508999999999986</v>
      </c>
      <c r="P15" s="246">
        <f t="shared" si="7"/>
        <v>108.86900000000001</v>
      </c>
      <c r="Q15" s="246">
        <f t="shared" si="7"/>
        <v>93.448000000000008</v>
      </c>
      <c r="R15" s="246">
        <f t="shared" si="7"/>
        <v>137.69999999999999</v>
      </c>
      <c r="S15" s="246">
        <f t="shared" si="7"/>
        <v>156.28899999999999</v>
      </c>
      <c r="T15" s="248">
        <f t="shared" ca="1" si="7"/>
        <v>163.78835616438354</v>
      </c>
      <c r="U15" s="246">
        <f t="shared" ca="1" si="7"/>
        <v>148.02429726027401</v>
      </c>
      <c r="V15" s="246">
        <f t="shared" ca="1" si="7"/>
        <v>200.75571506849312</v>
      </c>
      <c r="W15" s="246">
        <f t="shared" ca="1" si="7"/>
        <v>223.06777322404372</v>
      </c>
      <c r="X15" s="246">
        <f t="shared" ca="1" si="7"/>
        <v>273.98101369863019</v>
      </c>
      <c r="Y15" s="246">
        <f t="shared" ca="1" si="7"/>
        <v>241.82554178082191</v>
      </c>
    </row>
    <row r="17" spans="2:26" x14ac:dyDescent="0.2">
      <c r="B17" s="1" t="s">
        <v>286</v>
      </c>
      <c r="D17" s="64">
        <f>'BS FY18-20'!C11/1000</f>
        <v>10.946999999999999</v>
      </c>
      <c r="E17" s="64">
        <f>'BS FY18-20'!B11/1000</f>
        <v>12.763</v>
      </c>
      <c r="F17" s="243">
        <f>Q17</f>
        <v>15.574</v>
      </c>
      <c r="G17" s="64">
        <f>U17</f>
        <v>16.056185999999997</v>
      </c>
      <c r="H17" s="64">
        <f>Y17</f>
        <v>15.86486025</v>
      </c>
      <c r="I17" s="80">
        <f>H17+IS!J92-IS!J101</f>
        <v>16.002609575000001</v>
      </c>
      <c r="J17" s="80">
        <f>I17+IS!K92-IS!K101</f>
        <v>16.29314375625</v>
      </c>
      <c r="K17" s="80">
        <f>J17+IS!L92-IS!L101</f>
        <v>16.430893081250002</v>
      </c>
      <c r="L17" s="80">
        <f>K17+IS!M92-IS!M101</f>
        <v>17.102968466874998</v>
      </c>
      <c r="N17" s="64">
        <f>'BS 1Q21'!B10/1000</f>
        <v>13.16</v>
      </c>
      <c r="O17" s="64">
        <f>'BS 2Q21'!B10/1000</f>
        <v>13.622</v>
      </c>
      <c r="P17" s="64">
        <f>'BS 3Q21'!B10/1000</f>
        <v>14.358000000000001</v>
      </c>
      <c r="Q17" s="64">
        <f>'BS FY21'!B11/1000</f>
        <v>15.574</v>
      </c>
      <c r="R17" s="64">
        <f>'BS 1Q22'!B10/1000</f>
        <v>16.032</v>
      </c>
      <c r="S17" s="64">
        <f>'BS 2Q22'!B10/1000</f>
        <v>16.829999999999998</v>
      </c>
      <c r="T17" s="244">
        <f>S17+IS!Y92-IS!Y101</f>
        <v>16.531547999999997</v>
      </c>
      <c r="U17" s="64">
        <f>T17+IS!Z92-IS!Z101</f>
        <v>16.056185999999997</v>
      </c>
      <c r="V17" s="64">
        <f>U17+IS!AA92-IS!AA101</f>
        <v>15.886714437499997</v>
      </c>
      <c r="W17" s="64">
        <f>V17+IS!AB92-IS!AB101</f>
        <v>15.802709874999998</v>
      </c>
      <c r="X17" s="64">
        <f>W17+IS!AC92-IS!AC101</f>
        <v>15.9708903125</v>
      </c>
      <c r="Y17" s="64">
        <f>X17+IS!AD92-IS!AD101</f>
        <v>15.86486025</v>
      </c>
      <c r="Z17" s="1" t="s">
        <v>419</v>
      </c>
    </row>
    <row r="18" spans="2:26" x14ac:dyDescent="0.2">
      <c r="B18" s="1" t="s">
        <v>66</v>
      </c>
      <c r="D18" s="64">
        <f>'BS FY18-20'!C12/1000</f>
        <v>50.176000000000002</v>
      </c>
      <c r="E18" s="64">
        <f>'BS FY18-20'!B12/1000</f>
        <v>50.176000000000002</v>
      </c>
      <c r="F18" s="243">
        <f>Q18</f>
        <v>69.436000000000007</v>
      </c>
      <c r="G18" s="64">
        <f>U18</f>
        <v>69.941000000000003</v>
      </c>
      <c r="H18" s="64">
        <f>Y18</f>
        <v>69.941000000000003</v>
      </c>
      <c r="I18" s="216">
        <f>H18</f>
        <v>69.941000000000003</v>
      </c>
      <c r="J18" s="216">
        <f>I18</f>
        <v>69.941000000000003</v>
      </c>
      <c r="K18" s="216">
        <f>J18</f>
        <v>69.941000000000003</v>
      </c>
      <c r="L18" s="216">
        <f>K18</f>
        <v>69.941000000000003</v>
      </c>
      <c r="N18" s="64">
        <f>'BS 1Q21'!B11/1000</f>
        <v>50.176000000000002</v>
      </c>
      <c r="O18" s="64">
        <f>'BS 2Q21'!B11/1000</f>
        <v>50.176000000000002</v>
      </c>
      <c r="P18" s="64">
        <f>'BS 3Q21'!B11/1000</f>
        <v>69.320999999999998</v>
      </c>
      <c r="Q18" s="64">
        <f>'BS FY21'!B12/1000</f>
        <v>69.436000000000007</v>
      </c>
      <c r="R18" s="64">
        <f>'BS 1Q22'!B11/1000</f>
        <v>69.436000000000007</v>
      </c>
      <c r="S18" s="64">
        <f>'BS 2Q22'!B11/1000</f>
        <v>69.941000000000003</v>
      </c>
      <c r="T18" s="244">
        <f t="shared" ref="T18:Y18" si="8">S18</f>
        <v>69.941000000000003</v>
      </c>
      <c r="U18" s="64">
        <f t="shared" si="8"/>
        <v>69.941000000000003</v>
      </c>
      <c r="V18" s="64">
        <f t="shared" si="8"/>
        <v>69.941000000000003</v>
      </c>
      <c r="W18" s="64">
        <f t="shared" si="8"/>
        <v>69.941000000000003</v>
      </c>
      <c r="X18" s="64">
        <f t="shared" si="8"/>
        <v>69.941000000000003</v>
      </c>
      <c r="Y18" s="64">
        <f t="shared" si="8"/>
        <v>69.941000000000003</v>
      </c>
      <c r="Z18" s="1" t="s">
        <v>419</v>
      </c>
    </row>
    <row r="19" spans="2:26" x14ac:dyDescent="0.2">
      <c r="B19" s="1" t="s">
        <v>287</v>
      </c>
      <c r="D19" s="64">
        <f>'BS FY18-20'!C13/1000</f>
        <v>79.972999999999999</v>
      </c>
      <c r="E19" s="64">
        <f>'BS FY18-20'!B13/1000</f>
        <v>71.988</v>
      </c>
      <c r="F19" s="243">
        <f>Q19</f>
        <v>65.236000000000004</v>
      </c>
      <c r="G19" s="64">
        <f>U19</f>
        <v>56.576000000000001</v>
      </c>
      <c r="H19" s="64">
        <f>Y19</f>
        <v>48.657999999999994</v>
      </c>
      <c r="I19" s="80">
        <f>H19-IS!J104</f>
        <v>41.072999999999993</v>
      </c>
      <c r="J19" s="80">
        <f>I19-IS!K104</f>
        <v>33.487999999999992</v>
      </c>
      <c r="K19" s="80">
        <f>J19-IS!L104</f>
        <v>25.902999999999992</v>
      </c>
      <c r="L19" s="80">
        <f>K19-IS!M104</f>
        <v>18.317999999999991</v>
      </c>
      <c r="N19" s="64">
        <f>'BS 1Q21'!B12/1000</f>
        <v>69.992000000000004</v>
      </c>
      <c r="O19" s="64">
        <f>'BS 2Q21'!B12/1000</f>
        <v>67.995999999999995</v>
      </c>
      <c r="P19" s="64">
        <f>'BS 3Q21'!B12/1000</f>
        <v>67.507999999999996</v>
      </c>
      <c r="Q19" s="64">
        <f>'BS FY21'!B13/1000</f>
        <v>65.236000000000004</v>
      </c>
      <c r="R19" s="64">
        <f>'BS 1Q22'!B12/1000</f>
        <v>62.966000000000001</v>
      </c>
      <c r="S19" s="64">
        <f>'BS 2Q22'!B12/1000</f>
        <v>60.726999999999997</v>
      </c>
      <c r="T19" s="244">
        <f>S19-IS!Y104</f>
        <v>58.651499999999999</v>
      </c>
      <c r="U19" s="64">
        <f>T19-IS!Z104</f>
        <v>56.576000000000001</v>
      </c>
      <c r="V19" s="64">
        <f>U19-IS!AA104</f>
        <v>54.596499999999999</v>
      </c>
      <c r="W19" s="64">
        <f>V19-IS!AB104</f>
        <v>52.616999999999997</v>
      </c>
      <c r="X19" s="64">
        <f>W19-IS!AC104</f>
        <v>50.637499999999996</v>
      </c>
      <c r="Y19" s="64">
        <f>X19-IS!AD104</f>
        <v>48.657999999999994</v>
      </c>
      <c r="Z19" s="1" t="s">
        <v>419</v>
      </c>
    </row>
    <row r="20" spans="2:26" x14ac:dyDescent="0.2">
      <c r="B20" s="1" t="s">
        <v>288</v>
      </c>
      <c r="D20" s="64">
        <v>0</v>
      </c>
      <c r="E20" s="64">
        <v>0</v>
      </c>
      <c r="F20" s="243">
        <f>Q20</f>
        <v>176.958</v>
      </c>
      <c r="G20" s="64">
        <f>U20</f>
        <v>175.059</v>
      </c>
      <c r="H20" s="64">
        <f>Y20</f>
        <v>175.059</v>
      </c>
      <c r="I20" s="216">
        <f t="shared" ref="I20:L21" si="9">H20</f>
        <v>175.059</v>
      </c>
      <c r="J20" s="216">
        <f t="shared" si="9"/>
        <v>175.059</v>
      </c>
      <c r="K20" s="216">
        <f t="shared" si="9"/>
        <v>175.059</v>
      </c>
      <c r="L20" s="216">
        <f t="shared" si="9"/>
        <v>175.059</v>
      </c>
      <c r="N20" s="64">
        <f>'BS 1Q21'!B13/1000</f>
        <v>48.491999999999997</v>
      </c>
      <c r="O20" s="64">
        <f>'BS 2Q21'!B13/1000</f>
        <v>49.573</v>
      </c>
      <c r="P20" s="64">
        <f>'BS 3Q21'!B13/1000</f>
        <v>121.545</v>
      </c>
      <c r="Q20" s="64">
        <f>'BS FY21'!B14/1000</f>
        <v>176.958</v>
      </c>
      <c r="R20" s="64">
        <f>'BS 1Q22'!B13/1000</f>
        <v>175.53899999999999</v>
      </c>
      <c r="S20" s="64">
        <f>'BS 2Q22'!B13/1000</f>
        <v>175.059</v>
      </c>
      <c r="T20" s="244">
        <f t="shared" ref="T20:Y21" si="10">S20</f>
        <v>175.059</v>
      </c>
      <c r="U20" s="64">
        <f t="shared" si="10"/>
        <v>175.059</v>
      </c>
      <c r="V20" s="64">
        <f t="shared" si="10"/>
        <v>175.059</v>
      </c>
      <c r="W20" s="64">
        <f t="shared" si="10"/>
        <v>175.059</v>
      </c>
      <c r="X20" s="64">
        <f t="shared" si="10"/>
        <v>175.059</v>
      </c>
      <c r="Y20" s="64">
        <f t="shared" si="10"/>
        <v>175.059</v>
      </c>
      <c r="Z20" s="1" t="s">
        <v>419</v>
      </c>
    </row>
    <row r="21" spans="2:26" x14ac:dyDescent="0.2">
      <c r="B21" s="1" t="s">
        <v>315</v>
      </c>
      <c r="D21" s="64">
        <v>0</v>
      </c>
      <c r="E21" s="64">
        <f>'BS FY18-20'!B14/1000</f>
        <v>4.2359999999999998</v>
      </c>
      <c r="F21" s="243">
        <f>Q21</f>
        <v>5.7619999999999996</v>
      </c>
      <c r="G21" s="64">
        <f>U21</f>
        <v>17.771000000000001</v>
      </c>
      <c r="H21" s="64">
        <f>Y21</f>
        <v>17.771000000000001</v>
      </c>
      <c r="I21" s="216">
        <f t="shared" si="9"/>
        <v>17.771000000000001</v>
      </c>
      <c r="J21" s="216">
        <f t="shared" si="9"/>
        <v>17.771000000000001</v>
      </c>
      <c r="K21" s="216">
        <f t="shared" si="9"/>
        <v>17.771000000000001</v>
      </c>
      <c r="L21" s="216">
        <f t="shared" si="9"/>
        <v>17.771000000000001</v>
      </c>
      <c r="N21" s="64">
        <f>'BS 1Q21'!B14/1000</f>
        <v>0.47499999999999998</v>
      </c>
      <c r="O21" s="64">
        <f>'BS 2Q21'!B14/1000</f>
        <v>0.84</v>
      </c>
      <c r="P21" s="64">
        <f>'BS 3Q21'!B14/1000</f>
        <v>1.204</v>
      </c>
      <c r="Q21" s="64">
        <f>'BS FY21'!B15/1000</f>
        <v>5.7619999999999996</v>
      </c>
      <c r="R21" s="64">
        <f>'BS 1Q22'!B14/1000</f>
        <v>12.798999999999999</v>
      </c>
      <c r="S21" s="64">
        <f>'BS 2Q22'!B14/1000</f>
        <v>17.771000000000001</v>
      </c>
      <c r="T21" s="244">
        <f t="shared" si="10"/>
        <v>17.771000000000001</v>
      </c>
      <c r="U21" s="64">
        <f t="shared" si="10"/>
        <v>17.771000000000001</v>
      </c>
      <c r="V21" s="64">
        <f t="shared" si="10"/>
        <v>17.771000000000001</v>
      </c>
      <c r="W21" s="64">
        <f t="shared" si="10"/>
        <v>17.771000000000001</v>
      </c>
      <c r="X21" s="64">
        <f t="shared" si="10"/>
        <v>17.771000000000001</v>
      </c>
      <c r="Y21" s="64">
        <f t="shared" si="10"/>
        <v>17.771000000000001</v>
      </c>
      <c r="Z21" s="1" t="s">
        <v>419</v>
      </c>
    </row>
    <row r="22" spans="2:26" ht="15" x14ac:dyDescent="0.25">
      <c r="B22" s="249" t="s">
        <v>136</v>
      </c>
      <c r="D22" s="250">
        <f t="shared" ref="D22:L22" si="11">SUM(D15,SUM(D17:D21))</f>
        <v>187.60700000000003</v>
      </c>
      <c r="E22" s="250">
        <f t="shared" si="11"/>
        <v>195.30999999999997</v>
      </c>
      <c r="F22" s="251">
        <f t="shared" si="11"/>
        <v>426.41399999999999</v>
      </c>
      <c r="G22" s="250">
        <f t="shared" ca="1" si="11"/>
        <v>483.42748326027402</v>
      </c>
      <c r="H22" s="250">
        <f t="shared" ca="1" si="11"/>
        <v>569.1194020308219</v>
      </c>
      <c r="I22" s="250">
        <f t="shared" ca="1" si="11"/>
        <v>677.99668183002257</v>
      </c>
      <c r="J22" s="250">
        <f t="shared" ca="1" si="11"/>
        <v>844.1267055003168</v>
      </c>
      <c r="K22" s="250">
        <f t="shared" ca="1" si="11"/>
        <v>1036.3345681084238</v>
      </c>
      <c r="L22" s="250">
        <f t="shared" ca="1" si="11"/>
        <v>1250.0421506799489</v>
      </c>
      <c r="M22" s="160"/>
      <c r="N22" s="250">
        <f t="shared" ref="N22:Y22" si="12">SUM(N15,SUM(N17:N21))</f>
        <v>252.25899999999999</v>
      </c>
      <c r="O22" s="250">
        <f t="shared" si="12"/>
        <v>273.71600000000001</v>
      </c>
      <c r="P22" s="250">
        <f t="shared" si="12"/>
        <v>382.80500000000006</v>
      </c>
      <c r="Q22" s="250">
        <f t="shared" si="12"/>
        <v>426.41399999999999</v>
      </c>
      <c r="R22" s="250">
        <f t="shared" si="12"/>
        <v>474.47199999999992</v>
      </c>
      <c r="S22" s="250">
        <f t="shared" si="12"/>
        <v>496.61700000000002</v>
      </c>
      <c r="T22" s="252">
        <f t="shared" ca="1" si="12"/>
        <v>501.74240416438352</v>
      </c>
      <c r="U22" s="250">
        <f t="shared" ca="1" si="12"/>
        <v>483.42748326027402</v>
      </c>
      <c r="V22" s="250">
        <f t="shared" ca="1" si="12"/>
        <v>534.00992950599311</v>
      </c>
      <c r="W22" s="250">
        <f t="shared" ca="1" si="12"/>
        <v>554.2584830990437</v>
      </c>
      <c r="X22" s="250">
        <f t="shared" ca="1" si="12"/>
        <v>603.36040401113019</v>
      </c>
      <c r="Y22" s="250">
        <f t="shared" ca="1" si="12"/>
        <v>569.1194020308219</v>
      </c>
    </row>
    <row r="24" spans="2:26" ht="15" x14ac:dyDescent="0.25">
      <c r="B24" s="210" t="s">
        <v>289</v>
      </c>
    </row>
    <row r="26" spans="2:26" x14ac:dyDescent="0.2">
      <c r="B26" s="179" t="s">
        <v>290</v>
      </c>
    </row>
    <row r="27" spans="2:26" x14ac:dyDescent="0.2">
      <c r="B27" s="1" t="s">
        <v>291</v>
      </c>
      <c r="D27" s="64">
        <f>'BS FY18-20'!C18/1000</f>
        <v>10.382999999999999</v>
      </c>
      <c r="E27" s="64">
        <f>'BS FY18-20'!B18/1000</f>
        <v>14.634</v>
      </c>
      <c r="F27" s="243">
        <f>Q27</f>
        <v>19.984999999999999</v>
      </c>
      <c r="G27" s="64">
        <f>U27</f>
        <v>17.601643835616446</v>
      </c>
      <c r="H27" s="64">
        <f>Y27</f>
        <v>24.681164383561637</v>
      </c>
      <c r="I27" s="216">
        <f>I78</f>
        <v>41.744496243169408</v>
      </c>
      <c r="J27" s="216">
        <f>J78</f>
        <v>52.532875231164383</v>
      </c>
      <c r="K27" s="216">
        <f>K78</f>
        <v>63.290603465753414</v>
      </c>
      <c r="L27" s="216">
        <f>L78</f>
        <v>73.073020152226007</v>
      </c>
      <c r="N27" s="64">
        <f>'BS 1Q21'!B18/1000</f>
        <v>12.941000000000001</v>
      </c>
      <c r="O27" s="64">
        <f>'BS 2Q21'!B18/1000</f>
        <v>14.224</v>
      </c>
      <c r="P27" s="64">
        <f>'BS 3Q21'!B18/1000</f>
        <v>18.664000000000001</v>
      </c>
      <c r="Q27" s="64">
        <f>'BS FY21'!B19/1000</f>
        <v>19.984999999999999</v>
      </c>
      <c r="R27" s="64">
        <f>'BS 1Q22'!B18/1000</f>
        <v>17.879000000000001</v>
      </c>
      <c r="S27" s="64">
        <f>'BS 2Q22'!B18/1000</f>
        <v>24.257999999999999</v>
      </c>
      <c r="T27" s="244">
        <f t="shared" ref="T27:Y27" si="13">T78</f>
        <v>20.860821917808217</v>
      </c>
      <c r="U27" s="64">
        <f t="shared" si="13"/>
        <v>17.601643835616446</v>
      </c>
      <c r="V27" s="64">
        <f t="shared" si="13"/>
        <v>22.840547945205476</v>
      </c>
      <c r="W27" s="64">
        <f t="shared" si="13"/>
        <v>24.533879781420765</v>
      </c>
      <c r="X27" s="64">
        <f t="shared" si="13"/>
        <v>30.739726027397261</v>
      </c>
      <c r="Y27" s="64">
        <f t="shared" si="13"/>
        <v>24.681164383561637</v>
      </c>
      <c r="Z27" s="1" t="s">
        <v>419</v>
      </c>
    </row>
    <row r="28" spans="2:26" x14ac:dyDescent="0.2">
      <c r="B28" s="1" t="s">
        <v>292</v>
      </c>
      <c r="D28" s="64">
        <f>'BS FY18-20'!C19/1000</f>
        <v>1.264</v>
      </c>
      <c r="E28" s="64">
        <f>'BS FY18-20'!B19/1000</f>
        <v>5.9669999999999996</v>
      </c>
      <c r="F28" s="243">
        <f>Q28</f>
        <v>9.5690000000000008</v>
      </c>
      <c r="G28" s="64">
        <f>U28</f>
        <v>16.061500000000009</v>
      </c>
      <c r="H28" s="64">
        <f>Y28</f>
        <v>22.521562499999995</v>
      </c>
      <c r="I28" s="216">
        <f>I81</f>
        <v>55.002548250000004</v>
      </c>
      <c r="J28" s="216">
        <f>J81</f>
        <v>68.753185312500008</v>
      </c>
      <c r="K28" s="216">
        <f>K81</f>
        <v>82.503822375000013</v>
      </c>
      <c r="L28" s="216">
        <f>L81</f>
        <v>94.87939573125</v>
      </c>
      <c r="N28" s="64">
        <f>'BS 1Q21'!B19/1000</f>
        <v>8.5340000000000007</v>
      </c>
      <c r="O28" s="64">
        <f>'BS 2Q21'!B19/1000</f>
        <v>9.4990000000000006</v>
      </c>
      <c r="P28" s="64">
        <f>'BS 3Q21'!B19/1000</f>
        <v>15.112</v>
      </c>
      <c r="Q28" s="64">
        <f>'BS FY21'!B20/1000</f>
        <v>9.5690000000000008</v>
      </c>
      <c r="R28" s="64">
        <f>'BS 1Q22'!B19/1000</f>
        <v>14.763999999999999</v>
      </c>
      <c r="S28" s="64">
        <f>'BS 2Q22'!B19/1000</f>
        <v>25.297000000000001</v>
      </c>
      <c r="T28" s="244">
        <f t="shared" ref="T28:Y28" si="14">T81</f>
        <v>19.035499999999999</v>
      </c>
      <c r="U28" s="64">
        <f t="shared" si="14"/>
        <v>16.061500000000009</v>
      </c>
      <c r="V28" s="64">
        <f t="shared" si="14"/>
        <v>20.841999999999999</v>
      </c>
      <c r="W28" s="64">
        <f t="shared" si="14"/>
        <v>22.448499999999999</v>
      </c>
      <c r="X28" s="64">
        <f t="shared" si="14"/>
        <v>28.05</v>
      </c>
      <c r="Y28" s="64">
        <f t="shared" si="14"/>
        <v>22.521562499999995</v>
      </c>
      <c r="Z28" s="1" t="s">
        <v>419</v>
      </c>
    </row>
    <row r="29" spans="2:26" x14ac:dyDescent="0.2">
      <c r="B29" s="1" t="s">
        <v>321</v>
      </c>
      <c r="D29" s="64">
        <v>0</v>
      </c>
      <c r="E29" s="64">
        <v>0</v>
      </c>
      <c r="F29" s="243">
        <v>0</v>
      </c>
      <c r="G29" s="64">
        <f>U29</f>
        <v>3.5830000000000002</v>
      </c>
      <c r="H29" s="64">
        <f>Y29</f>
        <v>3.5830000000000002</v>
      </c>
      <c r="I29" s="216">
        <f t="shared" ref="I29:L30" si="15">H29</f>
        <v>3.5830000000000002</v>
      </c>
      <c r="J29" s="216">
        <f t="shared" si="15"/>
        <v>3.5830000000000002</v>
      </c>
      <c r="K29" s="216">
        <f t="shared" si="15"/>
        <v>3.5830000000000002</v>
      </c>
      <c r="L29" s="216">
        <f t="shared" si="15"/>
        <v>3.5830000000000002</v>
      </c>
      <c r="N29" s="64">
        <v>0</v>
      </c>
      <c r="O29" s="64">
        <v>0</v>
      </c>
      <c r="P29" s="64">
        <v>0</v>
      </c>
      <c r="Q29" s="64">
        <v>0</v>
      </c>
      <c r="R29" s="64">
        <f>'BS 1Q22'!B20/1000</f>
        <v>4.0650000000000004</v>
      </c>
      <c r="S29" s="64">
        <f>'BS 2Q22'!B20/1000</f>
        <v>3.5830000000000002</v>
      </c>
      <c r="T29" s="244">
        <f t="shared" ref="T29:Y30" si="16">S29</f>
        <v>3.5830000000000002</v>
      </c>
      <c r="U29" s="64">
        <f t="shared" si="16"/>
        <v>3.5830000000000002</v>
      </c>
      <c r="V29" s="64">
        <f t="shared" si="16"/>
        <v>3.5830000000000002</v>
      </c>
      <c r="W29" s="64">
        <f t="shared" si="16"/>
        <v>3.5830000000000002</v>
      </c>
      <c r="X29" s="64">
        <f t="shared" si="16"/>
        <v>3.5830000000000002</v>
      </c>
      <c r="Y29" s="64">
        <f t="shared" si="16"/>
        <v>3.5830000000000002</v>
      </c>
      <c r="Z29" s="1" t="s">
        <v>419</v>
      </c>
    </row>
    <row r="30" spans="2:26" x14ac:dyDescent="0.2">
      <c r="B30" s="1" t="s">
        <v>293</v>
      </c>
      <c r="D30" s="64">
        <f>'BS FY18-20'!C20/1000</f>
        <v>12.894</v>
      </c>
      <c r="E30" s="64">
        <f>'BS FY18-20'!B20/1000</f>
        <v>3.5</v>
      </c>
      <c r="F30" s="243">
        <f>Q30</f>
        <v>2</v>
      </c>
      <c r="G30" s="64">
        <f>U30</f>
        <v>2</v>
      </c>
      <c r="H30" s="64">
        <f>Y30</f>
        <v>2</v>
      </c>
      <c r="I30" s="216">
        <f t="shared" si="15"/>
        <v>2</v>
      </c>
      <c r="J30" s="216">
        <f t="shared" si="15"/>
        <v>2</v>
      </c>
      <c r="K30" s="216">
        <f t="shared" si="15"/>
        <v>2</v>
      </c>
      <c r="L30" s="216">
        <f t="shared" si="15"/>
        <v>2</v>
      </c>
      <c r="N30" s="64">
        <f>'BS 1Q21'!B20/1000</f>
        <v>3.5</v>
      </c>
      <c r="O30" s="64">
        <f>'BS 2Q21'!B20/1000</f>
        <v>3.5</v>
      </c>
      <c r="P30" s="64">
        <f>'BS 3Q21'!B20/1000</f>
        <v>2</v>
      </c>
      <c r="Q30" s="64">
        <f>'BS FY21'!B21/1000</f>
        <v>2</v>
      </c>
      <c r="R30" s="64">
        <f>'BS 1Q22'!B21/1000</f>
        <v>2</v>
      </c>
      <c r="S30" s="64">
        <f>'BS 2Q22'!B21/1000</f>
        <v>2</v>
      </c>
      <c r="T30" s="244">
        <f t="shared" si="16"/>
        <v>2</v>
      </c>
      <c r="U30" s="64">
        <f t="shared" si="16"/>
        <v>2</v>
      </c>
      <c r="V30" s="64">
        <f t="shared" si="16"/>
        <v>2</v>
      </c>
      <c r="W30" s="64">
        <f t="shared" si="16"/>
        <v>2</v>
      </c>
      <c r="X30" s="64">
        <f t="shared" si="16"/>
        <v>2</v>
      </c>
      <c r="Y30" s="64">
        <f t="shared" si="16"/>
        <v>2</v>
      </c>
      <c r="Z30" s="1" t="s">
        <v>419</v>
      </c>
    </row>
    <row r="31" spans="2:26" ht="15" x14ac:dyDescent="0.25">
      <c r="B31" s="245" t="s">
        <v>141</v>
      </c>
      <c r="C31" s="245"/>
      <c r="D31" s="253">
        <f t="shared" ref="D31:L31" si="17">SUM(D27:D30)</f>
        <v>24.540999999999997</v>
      </c>
      <c r="E31" s="253">
        <f t="shared" si="17"/>
        <v>24.100999999999999</v>
      </c>
      <c r="F31" s="254">
        <f t="shared" si="17"/>
        <v>31.554000000000002</v>
      </c>
      <c r="G31" s="253">
        <f t="shared" si="17"/>
        <v>39.246143835616451</v>
      </c>
      <c r="H31" s="253">
        <f t="shared" si="17"/>
        <v>52.78572688356163</v>
      </c>
      <c r="I31" s="253">
        <f t="shared" si="17"/>
        <v>102.33004449316941</v>
      </c>
      <c r="J31" s="253">
        <f t="shared" si="17"/>
        <v>126.86906054366439</v>
      </c>
      <c r="K31" s="253">
        <f t="shared" si="17"/>
        <v>151.37742584075343</v>
      </c>
      <c r="L31" s="253">
        <f t="shared" si="17"/>
        <v>173.53541588347602</v>
      </c>
      <c r="M31" s="245"/>
      <c r="N31" s="255">
        <f t="shared" ref="N31:Y31" si="18">SUM(N27:N30)</f>
        <v>24.975000000000001</v>
      </c>
      <c r="O31" s="255">
        <f t="shared" si="18"/>
        <v>27.222999999999999</v>
      </c>
      <c r="P31" s="255">
        <f t="shared" si="18"/>
        <v>35.776000000000003</v>
      </c>
      <c r="Q31" s="255">
        <f t="shared" si="18"/>
        <v>31.554000000000002</v>
      </c>
      <c r="R31" s="255">
        <f t="shared" si="18"/>
        <v>38.707999999999998</v>
      </c>
      <c r="S31" s="255">
        <f t="shared" si="18"/>
        <v>55.137999999999998</v>
      </c>
      <c r="T31" s="256">
        <f t="shared" si="18"/>
        <v>45.479321917808214</v>
      </c>
      <c r="U31" s="255">
        <f t="shared" si="18"/>
        <v>39.246143835616451</v>
      </c>
      <c r="V31" s="255">
        <f t="shared" si="18"/>
        <v>49.265547945205469</v>
      </c>
      <c r="W31" s="255">
        <f t="shared" si="18"/>
        <v>52.565379781420759</v>
      </c>
      <c r="X31" s="255">
        <f t="shared" si="18"/>
        <v>64.372726027397263</v>
      </c>
      <c r="Y31" s="255">
        <f t="shared" si="18"/>
        <v>52.78572688356163</v>
      </c>
    </row>
    <row r="32" spans="2:26" x14ac:dyDescent="0.2">
      <c r="G32" s="257"/>
    </row>
    <row r="33" spans="2:26" x14ac:dyDescent="0.2">
      <c r="B33" s="1" t="s">
        <v>294</v>
      </c>
      <c r="D33" s="64">
        <f>'BS FY18-20'!C22/1000</f>
        <v>0</v>
      </c>
      <c r="E33" s="64">
        <f>'BS FY18-20'!B22/1000</f>
        <v>20</v>
      </c>
      <c r="F33" s="243">
        <f t="shared" ref="F33:F38" si="19">Q33</f>
        <v>55.14</v>
      </c>
      <c r="G33" s="180">
        <f ca="1">U33</f>
        <v>66.185077107478932</v>
      </c>
      <c r="H33" s="180">
        <f ca="1">Y33</f>
        <v>54.263243599147671</v>
      </c>
      <c r="I33" s="64">
        <f ca="1">IS!J135</f>
        <v>0</v>
      </c>
      <c r="J33" s="64">
        <f ca="1">IS!K135</f>
        <v>0</v>
      </c>
      <c r="K33" s="64">
        <f ca="1">IS!L135</f>
        <v>0</v>
      </c>
      <c r="L33" s="64">
        <f ca="1">IS!M135</f>
        <v>0</v>
      </c>
      <c r="N33" s="64">
        <f>'BS 1Q21'!B22/1000</f>
        <v>39</v>
      </c>
      <c r="O33" s="64">
        <f>'BS 2Q21'!B22/1000</f>
        <v>49</v>
      </c>
      <c r="P33" s="64">
        <f>'BS 3Q21'!B22/1000</f>
        <v>60.14</v>
      </c>
      <c r="Q33" s="64">
        <f>'BS FY21'!B23/1000</f>
        <v>55.14</v>
      </c>
      <c r="R33" s="64">
        <f>'BS 1Q22'!B23/1000</f>
        <v>90.14</v>
      </c>
      <c r="S33" s="64">
        <f>'BS 2Q22'!B23/1000</f>
        <v>85.14</v>
      </c>
      <c r="T33" s="244">
        <f ca="1">IS!Y135</f>
        <v>85.736197418481382</v>
      </c>
      <c r="U33" s="64">
        <f ca="1">IS!Z135</f>
        <v>66.185077107478932</v>
      </c>
      <c r="V33" s="64">
        <f ca="1">IS!AA135</f>
        <v>88.033127917537087</v>
      </c>
      <c r="W33" s="64">
        <f ca="1">IS!AB135</f>
        <v>84.916633181481558</v>
      </c>
      <c r="X33" s="64">
        <f ca="1">IS!AC135</f>
        <v>94.141315904882319</v>
      </c>
      <c r="Y33" s="64">
        <f ca="1">IS!AD135</f>
        <v>54.263243599147671</v>
      </c>
      <c r="Z33" s="1" t="s">
        <v>419</v>
      </c>
    </row>
    <row r="34" spans="2:26" x14ac:dyDescent="0.2">
      <c r="B34" s="1" t="s">
        <v>295</v>
      </c>
      <c r="D34" s="64">
        <f>'BS FY18-20'!C23/1000</f>
        <v>13.16</v>
      </c>
      <c r="E34" s="64">
        <f>'BS FY18-20'!B23/1000</f>
        <v>335.33199999999999</v>
      </c>
      <c r="F34" s="243">
        <f t="shared" si="19"/>
        <v>189.91300000000001</v>
      </c>
      <c r="G34" s="180">
        <f ca="1">U34</f>
        <v>189.51499999999999</v>
      </c>
      <c r="H34" s="180">
        <f ca="1">Y34</f>
        <v>189.51499999999999</v>
      </c>
      <c r="I34" s="216">
        <f ca="1">+IS!J155</f>
        <v>189.51499999999999</v>
      </c>
      <c r="J34" s="216">
        <f ca="1">+IS!K155</f>
        <v>189.51499999999999</v>
      </c>
      <c r="K34" s="216">
        <f ca="1">+IS!L155</f>
        <v>189.51499999999999</v>
      </c>
      <c r="L34" s="216">
        <f ca="1">+IS!M155</f>
        <v>189.51499999999999</v>
      </c>
      <c r="N34" s="64">
        <f>'BS 1Q21'!B23/1000</f>
        <v>189.45</v>
      </c>
      <c r="O34" s="64">
        <f>'BS 2Q21'!B23/1000</f>
        <v>188.85900000000001</v>
      </c>
      <c r="P34" s="64">
        <f>'BS 3Q21'!B23/1000</f>
        <v>190.136</v>
      </c>
      <c r="Q34" s="64">
        <f>'BS FY21'!B24/1000</f>
        <v>189.91300000000001</v>
      </c>
      <c r="R34" s="64">
        <f>'BS 1Q22'!B24/1000</f>
        <v>189.68899999999999</v>
      </c>
      <c r="S34" s="64">
        <f>'BS 2Q22'!B24/1000</f>
        <v>189.51499999999999</v>
      </c>
      <c r="T34" s="258">
        <f>+IS!X155</f>
        <v>189.51499999999999</v>
      </c>
      <c r="U34" s="180">
        <f ca="1">+IS!Y155</f>
        <v>189.51499999999999</v>
      </c>
      <c r="V34" s="180">
        <f ca="1">+IS!Z155</f>
        <v>189.51499999999999</v>
      </c>
      <c r="W34" s="180">
        <f ca="1">+IS!AA155</f>
        <v>189.51499999999999</v>
      </c>
      <c r="X34" s="180">
        <f ca="1">+IS!AB155</f>
        <v>189.51499999999999</v>
      </c>
      <c r="Y34" s="180">
        <f ca="1">+IS!AC155</f>
        <v>189.51499999999999</v>
      </c>
      <c r="Z34" s="1" t="s">
        <v>419</v>
      </c>
    </row>
    <row r="35" spans="2:26" x14ac:dyDescent="0.2">
      <c r="B35" s="1" t="s">
        <v>298</v>
      </c>
      <c r="D35" s="64">
        <v>0</v>
      </c>
      <c r="E35" s="64">
        <v>0</v>
      </c>
      <c r="F35" s="243">
        <f t="shared" si="19"/>
        <v>156.374</v>
      </c>
      <c r="G35" s="180">
        <f>U35</f>
        <v>153.59100000000001</v>
      </c>
      <c r="H35" s="180">
        <f>Y35</f>
        <v>153.59100000000001</v>
      </c>
      <c r="I35" s="216">
        <f>H35</f>
        <v>153.59100000000001</v>
      </c>
      <c r="J35" s="216">
        <f t="shared" ref="J35:L36" si="20">I35</f>
        <v>153.59100000000001</v>
      </c>
      <c r="K35" s="216">
        <f t="shared" si="20"/>
        <v>153.59100000000001</v>
      </c>
      <c r="L35" s="216">
        <f t="shared" si="20"/>
        <v>153.59100000000001</v>
      </c>
      <c r="N35" s="64">
        <f>'BS 1Q21'!B24/1000</f>
        <v>41.692</v>
      </c>
      <c r="O35" s="64">
        <f>'BS 2Q21'!B24/1000</f>
        <v>43.356000000000002</v>
      </c>
      <c r="P35" s="64">
        <f>'BS 3Q21'!B24/1000</f>
        <v>107.88</v>
      </c>
      <c r="Q35" s="64">
        <f>'BS FY21'!B25/1000</f>
        <v>156.374</v>
      </c>
      <c r="R35" s="64">
        <f>'BS 1Q22'!B25/1000</f>
        <v>152.309</v>
      </c>
      <c r="S35" s="64">
        <f>'BS 2Q22'!B25/1000</f>
        <v>153.59100000000001</v>
      </c>
      <c r="T35" s="244">
        <f t="shared" ref="T35:Y36" si="21">S35</f>
        <v>153.59100000000001</v>
      </c>
      <c r="U35" s="64">
        <f t="shared" si="21"/>
        <v>153.59100000000001</v>
      </c>
      <c r="V35" s="64">
        <f t="shared" si="21"/>
        <v>153.59100000000001</v>
      </c>
      <c r="W35" s="64">
        <f t="shared" si="21"/>
        <v>153.59100000000001</v>
      </c>
      <c r="X35" s="64">
        <f t="shared" si="21"/>
        <v>153.59100000000001</v>
      </c>
      <c r="Y35" s="64">
        <f t="shared" si="21"/>
        <v>153.59100000000001</v>
      </c>
      <c r="Z35" s="1" t="s">
        <v>419</v>
      </c>
    </row>
    <row r="36" spans="2:26" x14ac:dyDescent="0.2">
      <c r="B36" s="1" t="s">
        <v>320</v>
      </c>
      <c r="D36" s="64"/>
      <c r="E36" s="64"/>
      <c r="F36" s="243">
        <f t="shared" si="19"/>
        <v>0.93100000000000005</v>
      </c>
      <c r="G36" s="180">
        <f>U36</f>
        <v>4.7930000000000001</v>
      </c>
      <c r="H36" s="180">
        <f>Y36</f>
        <v>4.7930000000000001</v>
      </c>
      <c r="I36" s="216">
        <f>H36</f>
        <v>4.7930000000000001</v>
      </c>
      <c r="J36" s="216">
        <f t="shared" si="20"/>
        <v>4.7930000000000001</v>
      </c>
      <c r="K36" s="216">
        <f t="shared" si="20"/>
        <v>4.7930000000000001</v>
      </c>
      <c r="L36" s="216">
        <f t="shared" si="20"/>
        <v>4.7930000000000001</v>
      </c>
      <c r="N36" s="64">
        <v>0</v>
      </c>
      <c r="O36" s="64">
        <v>0</v>
      </c>
      <c r="P36" s="64">
        <v>0</v>
      </c>
      <c r="Q36" s="64">
        <f>'BS FY21'!B26/1000</f>
        <v>0.93100000000000005</v>
      </c>
      <c r="R36" s="64">
        <f>'BS 1Q22'!B26/1000</f>
        <v>5.0739999999999998</v>
      </c>
      <c r="S36" s="64">
        <f>'BS 2Q22'!B26/1000</f>
        <v>4.7930000000000001</v>
      </c>
      <c r="T36" s="244">
        <f t="shared" si="21"/>
        <v>4.7930000000000001</v>
      </c>
      <c r="U36" s="64">
        <f t="shared" si="21"/>
        <v>4.7930000000000001</v>
      </c>
      <c r="V36" s="64">
        <f t="shared" si="21"/>
        <v>4.7930000000000001</v>
      </c>
      <c r="W36" s="64">
        <f t="shared" si="21"/>
        <v>4.7930000000000001</v>
      </c>
      <c r="X36" s="64">
        <f t="shared" si="21"/>
        <v>4.7930000000000001</v>
      </c>
      <c r="Y36" s="64">
        <f t="shared" si="21"/>
        <v>4.7930000000000001</v>
      </c>
      <c r="Z36" s="1" t="s">
        <v>419</v>
      </c>
    </row>
    <row r="37" spans="2:26" hidden="1" outlineLevel="1" x14ac:dyDescent="0.2">
      <c r="B37" s="1" t="s">
        <v>296</v>
      </c>
      <c r="D37" s="64">
        <v>0</v>
      </c>
      <c r="E37" s="64">
        <v>0</v>
      </c>
      <c r="F37" s="243">
        <f t="shared" si="19"/>
        <v>0</v>
      </c>
      <c r="G37" s="180">
        <f>'BS FY18-20'!F24/1000</f>
        <v>0</v>
      </c>
      <c r="H37" s="180">
        <f>'BS FY18-20'!G24/1000</f>
        <v>0</v>
      </c>
      <c r="I37" s="180">
        <f>'BS FY18-20'!H24/1000</f>
        <v>0</v>
      </c>
      <c r="J37" s="180">
        <f>'BS FY18-20'!I24/1000</f>
        <v>0</v>
      </c>
      <c r="K37" s="180">
        <f>'BS FY18-20'!J24/1000</f>
        <v>0</v>
      </c>
      <c r="L37" s="180">
        <f>'BS FY18-20'!K24/1000</f>
        <v>0</v>
      </c>
      <c r="N37" s="64">
        <v>0</v>
      </c>
      <c r="O37" s="64">
        <v>0</v>
      </c>
      <c r="P37" s="64">
        <v>0</v>
      </c>
      <c r="Q37" s="64">
        <v>0</v>
      </c>
      <c r="R37" s="64">
        <v>0</v>
      </c>
      <c r="S37" s="64">
        <v>0</v>
      </c>
      <c r="T37" s="244">
        <v>0</v>
      </c>
      <c r="U37" s="64">
        <v>0</v>
      </c>
      <c r="V37" s="64">
        <v>0</v>
      </c>
      <c r="W37" s="64">
        <v>0</v>
      </c>
      <c r="X37" s="64">
        <v>0</v>
      </c>
      <c r="Y37" s="64">
        <v>0</v>
      </c>
      <c r="Z37" s="1" t="s">
        <v>420</v>
      </c>
    </row>
    <row r="38" spans="2:26" hidden="1" outlineLevel="1" x14ac:dyDescent="0.2">
      <c r="B38" s="1" t="s">
        <v>297</v>
      </c>
      <c r="D38" s="64">
        <v>0</v>
      </c>
      <c r="E38" s="64">
        <v>0</v>
      </c>
      <c r="F38" s="243">
        <f t="shared" si="19"/>
        <v>0</v>
      </c>
      <c r="G38" s="180">
        <f>'BS FY18-20'!F25/1000</f>
        <v>0</v>
      </c>
      <c r="H38" s="180">
        <f>'BS FY18-20'!G25/1000</f>
        <v>0</v>
      </c>
      <c r="I38" s="180">
        <f>'BS FY18-20'!H25/1000</f>
        <v>0</v>
      </c>
      <c r="J38" s="180">
        <f>'BS FY18-20'!I25/1000</f>
        <v>0</v>
      </c>
      <c r="K38" s="180">
        <f>'BS FY18-20'!J25/1000</f>
        <v>0</v>
      </c>
      <c r="L38" s="180">
        <f>'BS FY18-20'!K25/1000</f>
        <v>0</v>
      </c>
      <c r="N38" s="64">
        <v>0</v>
      </c>
      <c r="O38" s="64">
        <v>0</v>
      </c>
      <c r="P38" s="64">
        <v>0</v>
      </c>
      <c r="Q38" s="64">
        <v>0</v>
      </c>
      <c r="R38" s="64">
        <v>0</v>
      </c>
      <c r="S38" s="64">
        <v>0</v>
      </c>
      <c r="T38" s="244">
        <v>0</v>
      </c>
      <c r="U38" s="64">
        <v>0</v>
      </c>
      <c r="V38" s="64">
        <v>0</v>
      </c>
      <c r="W38" s="64">
        <v>0</v>
      </c>
      <c r="X38" s="64">
        <v>0</v>
      </c>
      <c r="Y38" s="64">
        <v>0</v>
      </c>
      <c r="Z38" s="1" t="s">
        <v>420</v>
      </c>
    </row>
    <row r="39" spans="2:26" ht="15" collapsed="1" x14ac:dyDescent="0.25">
      <c r="B39" s="249" t="s">
        <v>144</v>
      </c>
      <c r="D39" s="259">
        <f t="shared" ref="D39:L39" si="22">SUM(D31,SUM(D33:D38))</f>
        <v>37.700999999999993</v>
      </c>
      <c r="E39" s="259">
        <f t="shared" si="22"/>
        <v>379.43299999999999</v>
      </c>
      <c r="F39" s="260">
        <f t="shared" si="22"/>
        <v>433.91200000000003</v>
      </c>
      <c r="G39" s="259">
        <f t="shared" ca="1" si="22"/>
        <v>453.33022094309541</v>
      </c>
      <c r="H39" s="259">
        <f t="shared" ca="1" si="22"/>
        <v>454.94797048270931</v>
      </c>
      <c r="I39" s="259">
        <f t="shared" ca="1" si="22"/>
        <v>450.2290444931694</v>
      </c>
      <c r="J39" s="259">
        <f t="shared" ca="1" si="22"/>
        <v>474.76806054366438</v>
      </c>
      <c r="K39" s="259">
        <f t="shared" ca="1" si="22"/>
        <v>499.2764258407534</v>
      </c>
      <c r="L39" s="259">
        <f t="shared" ca="1" si="22"/>
        <v>521.43441588347605</v>
      </c>
      <c r="M39" s="64"/>
      <c r="N39" s="259">
        <f t="shared" ref="N39:Y39" si="23">SUM(N31,SUM(N33:N38))</f>
        <v>295.11700000000002</v>
      </c>
      <c r="O39" s="259">
        <f t="shared" si="23"/>
        <v>308.43800000000005</v>
      </c>
      <c r="P39" s="259">
        <f t="shared" si="23"/>
        <v>393.93200000000002</v>
      </c>
      <c r="Q39" s="259">
        <f t="shared" si="23"/>
        <v>433.91200000000003</v>
      </c>
      <c r="R39" s="259">
        <f t="shared" si="23"/>
        <v>475.92000000000007</v>
      </c>
      <c r="S39" s="259">
        <f t="shared" si="23"/>
        <v>488.17699999999996</v>
      </c>
      <c r="T39" s="261">
        <f t="shared" ca="1" si="23"/>
        <v>479.11451933628956</v>
      </c>
      <c r="U39" s="259">
        <f t="shared" ca="1" si="23"/>
        <v>453.33022094309541</v>
      </c>
      <c r="V39" s="259">
        <f t="shared" ca="1" si="23"/>
        <v>485.19767586274253</v>
      </c>
      <c r="W39" s="259">
        <f t="shared" ca="1" si="23"/>
        <v>485.38101296290228</v>
      </c>
      <c r="X39" s="259">
        <f t="shared" ca="1" si="23"/>
        <v>506.41304193227961</v>
      </c>
      <c r="Y39" s="259">
        <f t="shared" ca="1" si="23"/>
        <v>454.94797048270931</v>
      </c>
    </row>
    <row r="41" spans="2:26" x14ac:dyDescent="0.2">
      <c r="B41" s="179" t="s">
        <v>299</v>
      </c>
    </row>
    <row r="42" spans="2:26" x14ac:dyDescent="0.2">
      <c r="B42" s="1" t="s">
        <v>319</v>
      </c>
      <c r="F42" s="237">
        <f>Q42</f>
        <v>95.683999999999997</v>
      </c>
      <c r="G42" s="216">
        <f>U42</f>
        <v>101.24299999999999</v>
      </c>
      <c r="H42" s="216">
        <f>Y42</f>
        <v>101.24299999999999</v>
      </c>
      <c r="I42" s="216">
        <f>H42</f>
        <v>101.24299999999999</v>
      </c>
      <c r="J42" s="216">
        <f>I42</f>
        <v>101.24299999999999</v>
      </c>
      <c r="K42" s="216">
        <f>J42</f>
        <v>101.24299999999999</v>
      </c>
      <c r="L42" s="216">
        <f>K42</f>
        <v>101.24299999999999</v>
      </c>
      <c r="N42" s="64">
        <f>'BS 1Q21'!B32/1000</f>
        <v>78.072999999999993</v>
      </c>
      <c r="O42" s="64">
        <f>'BS 2Q21'!B32/1000</f>
        <v>78.882999999999996</v>
      </c>
      <c r="P42" s="64">
        <f>'BS 3Q21'!B32/1000</f>
        <v>92.149000000000001</v>
      </c>
      <c r="Q42" s="64">
        <f>'BS FY21'!B34/1000</f>
        <v>95.683999999999997</v>
      </c>
      <c r="R42" s="64">
        <f>'BS 1Q22'!B33/1000</f>
        <v>98.376000000000005</v>
      </c>
      <c r="S42" s="64">
        <f>'BS 2Q22'!B33/1000</f>
        <v>101.24299999999999</v>
      </c>
      <c r="T42" s="244">
        <f t="shared" ref="T42:Y42" si="24">S42</f>
        <v>101.24299999999999</v>
      </c>
      <c r="U42" s="64">
        <f t="shared" si="24"/>
        <v>101.24299999999999</v>
      </c>
      <c r="V42" s="64">
        <f t="shared" si="24"/>
        <v>101.24299999999999</v>
      </c>
      <c r="W42" s="64">
        <f t="shared" si="24"/>
        <v>101.24299999999999</v>
      </c>
      <c r="X42" s="64">
        <f t="shared" si="24"/>
        <v>101.24299999999999</v>
      </c>
      <c r="Y42" s="64">
        <f t="shared" si="24"/>
        <v>101.24299999999999</v>
      </c>
      <c r="Z42" s="1" t="s">
        <v>419</v>
      </c>
    </row>
    <row r="43" spans="2:26" x14ac:dyDescent="0.2">
      <c r="B43" s="1" t="s">
        <v>318</v>
      </c>
      <c r="D43" s="64">
        <f>'BS FY18-20'!C26/1000</f>
        <v>149.90600000000001</v>
      </c>
      <c r="E43" s="64">
        <f>'BS FY18-20'!B26/1000</f>
        <v>-184.12299999999999</v>
      </c>
      <c r="F43" s="243">
        <f>Q43</f>
        <v>-93.132999999999996</v>
      </c>
      <c r="G43" s="180">
        <f ca="1">U43</f>
        <v>-64.433737682821388</v>
      </c>
      <c r="H43" s="180">
        <f ca="1">Y43</f>
        <v>19.640431548112566</v>
      </c>
      <c r="I43" s="216">
        <f ca="1">+H43+IS!J56+CF!I11</f>
        <v>133.23663733685316</v>
      </c>
      <c r="J43" s="216">
        <f ca="1">+I43+IS!K56+CF!J11</f>
        <v>274.82764495665242</v>
      </c>
      <c r="K43" s="216">
        <f ca="1">+J43+IS!L56+CF!K11</f>
        <v>442.5271422676704</v>
      </c>
      <c r="L43" s="216">
        <f ca="1">+K43+IS!M56+CF!L11</f>
        <v>634.07673479647269</v>
      </c>
      <c r="N43" s="64">
        <f>SUM('BS 1Q21'!B33)/1000</f>
        <v>-98.34</v>
      </c>
      <c r="O43" s="64">
        <f>'BS 2Q21'!B33/1000</f>
        <v>-93.781999999999996</v>
      </c>
      <c r="P43" s="64">
        <f>'BS 3Q21'!B33/1000</f>
        <v>-91.296000000000006</v>
      </c>
      <c r="Q43" s="64">
        <f>'BS FY21'!B35/1000</f>
        <v>-93.132999999999996</v>
      </c>
      <c r="R43" s="64">
        <f>'BS 1Q22'!B34/1000</f>
        <v>-90.492999999999995</v>
      </c>
      <c r="S43" s="64">
        <f>'BS 2Q22'!B34/1000</f>
        <v>-86.090999999999994</v>
      </c>
      <c r="T43" s="244">
        <f ca="1">S43+IS!Y56+IS!Y50</f>
        <v>-71.903115171906038</v>
      </c>
      <c r="U43" s="64">
        <f ca="1">T43+IS!Z56+IS!Z50</f>
        <v>-64.433737682821388</v>
      </c>
      <c r="V43" s="64">
        <f ca="1">U43+IS!AA56+IS!AA50</f>
        <v>-45.718746356749413</v>
      </c>
      <c r="W43" s="64">
        <f ca="1">V43+IS!AB56+IS!AB50</f>
        <v>-25.653529863858601</v>
      </c>
      <c r="X43" s="64">
        <f ca="1">W43+IS!AC56+IS!AC50</f>
        <v>2.416362078850554</v>
      </c>
      <c r="Y43" s="64">
        <f ca="1">X43+IS!AD56+IS!AD50</f>
        <v>19.640431548112566</v>
      </c>
      <c r="Z43" s="1" t="s">
        <v>419</v>
      </c>
    </row>
    <row r="44" spans="2:26" ht="15" x14ac:dyDescent="0.25">
      <c r="B44" s="249" t="s">
        <v>300</v>
      </c>
      <c r="D44" s="259">
        <f>SUM(D42:D43)</f>
        <v>149.90600000000001</v>
      </c>
      <c r="E44" s="259">
        <f t="shared" ref="E44:L44" si="25">SUM(E42:E43)</f>
        <v>-184.12299999999999</v>
      </c>
      <c r="F44" s="260">
        <f t="shared" si="25"/>
        <v>2.5510000000000019</v>
      </c>
      <c r="G44" s="259">
        <f t="shared" ca="1" si="25"/>
        <v>36.809262317178607</v>
      </c>
      <c r="H44" s="259">
        <f t="shared" ca="1" si="25"/>
        <v>120.88343154811255</v>
      </c>
      <c r="I44" s="259">
        <f t="shared" ca="1" si="25"/>
        <v>234.47963733685316</v>
      </c>
      <c r="J44" s="259">
        <f t="shared" ca="1" si="25"/>
        <v>376.07064495665242</v>
      </c>
      <c r="K44" s="259">
        <f t="shared" ca="1" si="25"/>
        <v>543.77014226767039</v>
      </c>
      <c r="L44" s="259">
        <f t="shared" ca="1" si="25"/>
        <v>735.31973479647263</v>
      </c>
      <c r="M44" s="64"/>
      <c r="N44" s="259">
        <f t="shared" ref="N44:Y44" si="26">SUM(N42:N43)</f>
        <v>-20.26700000000001</v>
      </c>
      <c r="O44" s="259">
        <f t="shared" si="26"/>
        <v>-14.899000000000001</v>
      </c>
      <c r="P44" s="259">
        <f t="shared" si="26"/>
        <v>0.85299999999999443</v>
      </c>
      <c r="Q44" s="259">
        <f t="shared" si="26"/>
        <v>2.5510000000000019</v>
      </c>
      <c r="R44" s="259">
        <f t="shared" si="26"/>
        <v>7.8830000000000098</v>
      </c>
      <c r="S44" s="259">
        <f t="shared" si="26"/>
        <v>15.152000000000001</v>
      </c>
      <c r="T44" s="261">
        <f t="shared" ca="1" si="26"/>
        <v>29.339884828093957</v>
      </c>
      <c r="U44" s="259">
        <f t="shared" ca="1" si="26"/>
        <v>36.809262317178607</v>
      </c>
      <c r="V44" s="259">
        <f t="shared" ca="1" si="26"/>
        <v>55.524253643250582</v>
      </c>
      <c r="W44" s="259">
        <f t="shared" ca="1" si="26"/>
        <v>75.589470136141387</v>
      </c>
      <c r="X44" s="259">
        <f t="shared" ca="1" si="26"/>
        <v>103.65936207885055</v>
      </c>
      <c r="Y44" s="259">
        <f t="shared" ca="1" si="26"/>
        <v>120.88343154811255</v>
      </c>
    </row>
    <row r="46" spans="2:26" x14ac:dyDescent="0.2">
      <c r="B46" s="1" t="s">
        <v>317</v>
      </c>
      <c r="D46" s="64">
        <v>0</v>
      </c>
      <c r="E46" s="64">
        <v>0</v>
      </c>
      <c r="F46" s="243">
        <f>Q46</f>
        <v>-10.051</v>
      </c>
      <c r="G46" s="64">
        <f>U46</f>
        <v>-6.7140000000000004</v>
      </c>
      <c r="H46" s="64">
        <f>Y46</f>
        <v>-6.7140000000000004</v>
      </c>
      <c r="I46" s="216">
        <f>H46</f>
        <v>-6.7140000000000004</v>
      </c>
      <c r="J46" s="216">
        <f>I46</f>
        <v>-6.7140000000000004</v>
      </c>
      <c r="K46" s="216">
        <f>J46</f>
        <v>-6.7140000000000004</v>
      </c>
      <c r="L46" s="216">
        <f>K46</f>
        <v>-6.7140000000000004</v>
      </c>
      <c r="N46" s="64">
        <f>'BS 1Q21'!B35/1000</f>
        <v>-22.593</v>
      </c>
      <c r="O46" s="64">
        <f>'BS 2Q21'!B35/1000</f>
        <v>-19.824999999999999</v>
      </c>
      <c r="P46" s="64">
        <f>'BS 3Q21'!B35/1000</f>
        <v>-11.981999999999999</v>
      </c>
      <c r="Q46" s="64">
        <f>'BS FY21'!B37/1000</f>
        <v>-10.051</v>
      </c>
      <c r="R46" s="64">
        <f>'BS 1Q22'!B36/1000</f>
        <v>-9.3330000000000002</v>
      </c>
      <c r="S46" s="64">
        <f>'BS 2Q22'!B36/1000</f>
        <v>-6.7140000000000004</v>
      </c>
      <c r="T46" s="244">
        <f t="shared" ref="T46:Y46" si="27">S46</f>
        <v>-6.7140000000000004</v>
      </c>
      <c r="U46" s="64">
        <f t="shared" si="27"/>
        <v>-6.7140000000000004</v>
      </c>
      <c r="V46" s="64">
        <f t="shared" si="27"/>
        <v>-6.7140000000000004</v>
      </c>
      <c r="W46" s="64">
        <f t="shared" si="27"/>
        <v>-6.7140000000000004</v>
      </c>
      <c r="X46" s="64">
        <f t="shared" si="27"/>
        <v>-6.7140000000000004</v>
      </c>
      <c r="Y46" s="64">
        <f t="shared" si="27"/>
        <v>-6.7140000000000004</v>
      </c>
      <c r="Z46" s="1" t="s">
        <v>419</v>
      </c>
    </row>
    <row r="48" spans="2:26" ht="15" x14ac:dyDescent="0.25">
      <c r="B48" s="249" t="s">
        <v>301</v>
      </c>
      <c r="D48" s="250">
        <f>SUM(D39,D44,D46)</f>
        <v>187.607</v>
      </c>
      <c r="E48" s="250">
        <f t="shared" ref="E48:L48" si="28">SUM(E39,E44,E46)</f>
        <v>195.31</v>
      </c>
      <c r="F48" s="251">
        <f t="shared" si="28"/>
        <v>426.41200000000003</v>
      </c>
      <c r="G48" s="250">
        <f t="shared" ca="1" si="28"/>
        <v>483.42548326027401</v>
      </c>
      <c r="H48" s="250">
        <f t="shared" ca="1" si="28"/>
        <v>569.11740203082184</v>
      </c>
      <c r="I48" s="250">
        <f t="shared" ca="1" si="28"/>
        <v>677.9946818300225</v>
      </c>
      <c r="J48" s="250">
        <f t="shared" ca="1" si="28"/>
        <v>844.12470550031674</v>
      </c>
      <c r="K48" s="250">
        <f t="shared" ca="1" si="28"/>
        <v>1036.3325681084239</v>
      </c>
      <c r="L48" s="250">
        <f t="shared" ca="1" si="28"/>
        <v>1250.0401506799487</v>
      </c>
      <c r="M48" s="160"/>
      <c r="N48" s="250">
        <f>SUM(N39,N44,N46)</f>
        <v>252.25700000000003</v>
      </c>
      <c r="O48" s="250">
        <f t="shared" ref="O48:Y48" si="29">SUM(O39,O44,O46)</f>
        <v>273.71400000000006</v>
      </c>
      <c r="P48" s="250">
        <f t="shared" si="29"/>
        <v>382.803</v>
      </c>
      <c r="Q48" s="250">
        <f t="shared" si="29"/>
        <v>426.41200000000003</v>
      </c>
      <c r="R48" s="250">
        <f t="shared" si="29"/>
        <v>474.47000000000008</v>
      </c>
      <c r="S48" s="250">
        <f t="shared" si="29"/>
        <v>496.61499999999995</v>
      </c>
      <c r="T48" s="252">
        <f t="shared" ca="1" si="29"/>
        <v>501.74040416438351</v>
      </c>
      <c r="U48" s="250">
        <f t="shared" ca="1" si="29"/>
        <v>483.42548326027401</v>
      </c>
      <c r="V48" s="250">
        <f t="shared" ca="1" si="29"/>
        <v>534.00792950599305</v>
      </c>
      <c r="W48" s="250">
        <f t="shared" ca="1" si="29"/>
        <v>554.25648309904363</v>
      </c>
      <c r="X48" s="250">
        <f t="shared" ca="1" si="29"/>
        <v>603.35840401113012</v>
      </c>
      <c r="Y48" s="250">
        <f t="shared" ca="1" si="29"/>
        <v>569.11740203082184</v>
      </c>
    </row>
    <row r="50" spans="2:25" s="31" customFormat="1" x14ac:dyDescent="0.2">
      <c r="B50" s="262" t="s">
        <v>316</v>
      </c>
      <c r="D50" s="263">
        <f t="shared" ref="D50:I50" si="30">D48-D22</f>
        <v>0</v>
      </c>
      <c r="E50" s="263">
        <f t="shared" si="30"/>
        <v>0</v>
      </c>
      <c r="F50" s="264">
        <f t="shared" si="30"/>
        <v>-1.9999999999527063E-3</v>
      </c>
      <c r="G50" s="263">
        <f t="shared" ca="1" si="30"/>
        <v>-2.0000000000095497E-3</v>
      </c>
      <c r="H50" s="263">
        <f t="shared" ca="1" si="30"/>
        <v>-2.0000000000663931E-3</v>
      </c>
      <c r="I50" s="263">
        <f t="shared" ca="1" si="30"/>
        <v>-2.0000000000663931E-3</v>
      </c>
      <c r="J50" s="263">
        <f ca="1">J48-J22</f>
        <v>-2.0000000000663931E-3</v>
      </c>
      <c r="K50" s="263">
        <f ca="1">K48-K22</f>
        <v>-1.9999999999527063E-3</v>
      </c>
      <c r="L50" s="263">
        <f ca="1">L48-L22</f>
        <v>-2.00000000018008E-3</v>
      </c>
      <c r="M50" s="265"/>
      <c r="N50" s="263">
        <f t="shared" ref="N50:Y50" si="31">N48-N22</f>
        <v>-1.9999999999527063E-3</v>
      </c>
      <c r="O50" s="263">
        <f t="shared" si="31"/>
        <v>-1.9999999999527063E-3</v>
      </c>
      <c r="P50" s="263">
        <f t="shared" si="31"/>
        <v>-2.0000000000663931E-3</v>
      </c>
      <c r="Q50" s="263">
        <f t="shared" si="31"/>
        <v>-1.9999999999527063E-3</v>
      </c>
      <c r="R50" s="263">
        <f t="shared" si="31"/>
        <v>-1.9999999998390194E-3</v>
      </c>
      <c r="S50" s="263">
        <f t="shared" si="31"/>
        <v>-2.0000000000663931E-3</v>
      </c>
      <c r="T50" s="266">
        <f t="shared" ca="1" si="31"/>
        <v>-2.0000000000095497E-3</v>
      </c>
      <c r="U50" s="263">
        <f t="shared" ca="1" si="31"/>
        <v>-2.0000000000095497E-3</v>
      </c>
      <c r="V50" s="263">
        <f t="shared" ca="1" si="31"/>
        <v>-2.0000000000663931E-3</v>
      </c>
      <c r="W50" s="263">
        <f t="shared" ca="1" si="31"/>
        <v>-2.0000000000663931E-3</v>
      </c>
      <c r="X50" s="263">
        <f t="shared" ca="1" si="31"/>
        <v>-2.0000000000663931E-3</v>
      </c>
      <c r="Y50" s="263">
        <f t="shared" ca="1" si="31"/>
        <v>-2.0000000000663931E-3</v>
      </c>
    </row>
    <row r="55" spans="2:25" ht="15" x14ac:dyDescent="0.25">
      <c r="B55" s="267" t="s">
        <v>323</v>
      </c>
      <c r="C55" s="21"/>
      <c r="D55" s="268"/>
      <c r="E55" s="268"/>
      <c r="F55" s="269"/>
      <c r="G55" s="268"/>
      <c r="H55" s="268"/>
      <c r="I55" s="268"/>
      <c r="J55" s="268"/>
      <c r="K55" s="268"/>
      <c r="L55" s="268"/>
      <c r="M55" s="270"/>
      <c r="N55" s="268"/>
      <c r="O55" s="268"/>
      <c r="P55" s="268"/>
      <c r="Q55" s="268"/>
      <c r="R55" s="268"/>
      <c r="S55" s="268"/>
      <c r="T55" s="271"/>
      <c r="U55" s="268"/>
      <c r="V55" s="268"/>
      <c r="W55" s="268"/>
      <c r="X55" s="268"/>
      <c r="Y55" s="268"/>
    </row>
    <row r="57" spans="2:25" x14ac:dyDescent="0.2">
      <c r="B57" s="1" t="s">
        <v>334</v>
      </c>
      <c r="D57" s="18">
        <v>365</v>
      </c>
      <c r="E57" s="18">
        <v>366</v>
      </c>
      <c r="F57" s="272">
        <v>365</v>
      </c>
      <c r="G57" s="18">
        <v>365</v>
      </c>
      <c r="H57" s="18">
        <v>365</v>
      </c>
      <c r="I57" s="18">
        <v>366</v>
      </c>
      <c r="J57" s="18">
        <v>365</v>
      </c>
      <c r="K57" s="18">
        <v>365</v>
      </c>
      <c r="L57" s="18">
        <v>365</v>
      </c>
      <c r="N57" s="1">
        <f>F57/4</f>
        <v>91.25</v>
      </c>
      <c r="O57" s="1">
        <f>N57</f>
        <v>91.25</v>
      </c>
      <c r="P57" s="1">
        <f>O57</f>
        <v>91.25</v>
      </c>
      <c r="Q57" s="1">
        <f>P57</f>
        <v>91.25</v>
      </c>
      <c r="R57" s="1">
        <f>G57/4</f>
        <v>91.25</v>
      </c>
      <c r="S57" s="1">
        <f>R57</f>
        <v>91.25</v>
      </c>
      <c r="T57" s="239">
        <f>S57</f>
        <v>91.25</v>
      </c>
      <c r="U57" s="1">
        <f>T57</f>
        <v>91.25</v>
      </c>
      <c r="V57" s="1">
        <f>H57/4</f>
        <v>91.25</v>
      </c>
      <c r="W57" s="1">
        <f>I57/4</f>
        <v>91.5</v>
      </c>
      <c r="X57" s="1">
        <f>J57/4</f>
        <v>91.25</v>
      </c>
      <c r="Y57" s="1">
        <f>K57/4</f>
        <v>91.25</v>
      </c>
    </row>
    <row r="58" spans="2:25" x14ac:dyDescent="0.2">
      <c r="B58" s="1" t="s">
        <v>328</v>
      </c>
      <c r="D58" s="64">
        <f>IS!E9</f>
        <v>144.49600000000001</v>
      </c>
      <c r="E58" s="64">
        <f>IS!F9</f>
        <v>175.518</v>
      </c>
      <c r="F58" s="243">
        <f>IS!G9</f>
        <v>213.21199999999999</v>
      </c>
      <c r="G58" s="64">
        <f>IS!H9</f>
        <v>303.29499999999996</v>
      </c>
      <c r="H58" s="64">
        <f>IS!I9</f>
        <v>470.10725000000002</v>
      </c>
      <c r="I58" s="64">
        <f>IS!J9</f>
        <v>611.13942500000007</v>
      </c>
      <c r="J58" s="64">
        <f>IS!K9</f>
        <v>763.92428125000015</v>
      </c>
      <c r="K58" s="64">
        <f>IS!L9</f>
        <v>916.70913750000011</v>
      </c>
      <c r="L58" s="64">
        <f>IS!M9</f>
        <v>1054.215508125</v>
      </c>
      <c r="N58" s="64">
        <f>IS!O9</f>
        <v>40.74</v>
      </c>
      <c r="O58" s="64">
        <f>IS!P9</f>
        <v>43.427</v>
      </c>
      <c r="P58" s="64">
        <f>IS!Q9</f>
        <v>52.597999999999999</v>
      </c>
      <c r="Q58" s="64">
        <f>IS!R9</f>
        <v>38.753000000000014</v>
      </c>
      <c r="R58" s="64">
        <f>IS!S9</f>
        <v>45.603999999999999</v>
      </c>
      <c r="S58" s="64">
        <f>IS!T9</f>
        <v>59.722000000000001</v>
      </c>
      <c r="T58" s="244">
        <f>IS!U9</f>
        <v>59.84</v>
      </c>
      <c r="U58" s="64">
        <f>IS!V9</f>
        <v>48.045999999999992</v>
      </c>
      <c r="V58" s="64">
        <f>IS!W9</f>
        <v>67.975999999999999</v>
      </c>
      <c r="W58" s="64">
        <f>IS!X9</f>
        <v>73.489999999999995</v>
      </c>
      <c r="X58" s="64">
        <f>IS!Y9</f>
        <v>89.76</v>
      </c>
      <c r="Y58" s="64">
        <f>IS!Z9</f>
        <v>72.068999999999988</v>
      </c>
    </row>
    <row r="59" spans="2:25" x14ac:dyDescent="0.2">
      <c r="B59" s="1" t="s">
        <v>329</v>
      </c>
      <c r="D59" s="64">
        <f>IS!E12</f>
        <v>100.28400000000001</v>
      </c>
      <c r="E59" s="64">
        <f>IS!F12</f>
        <v>108.97199999999999</v>
      </c>
      <c r="F59" s="243">
        <f>IS!G12</f>
        <v>130.56700000000001</v>
      </c>
      <c r="G59" s="64">
        <f>IS!H12</f>
        <v>187.72412499999996</v>
      </c>
      <c r="H59" s="64">
        <f>IS!I12</f>
        <v>293.81703125000001</v>
      </c>
      <c r="I59" s="64">
        <f>IS!J12</f>
        <v>381.96214062500007</v>
      </c>
      <c r="J59" s="64">
        <f>IS!K12</f>
        <v>479.36248648437504</v>
      </c>
      <c r="K59" s="64">
        <f>IS!L12</f>
        <v>577.52675662499996</v>
      </c>
      <c r="L59" s="64">
        <f>IS!M12</f>
        <v>666.79130888906241</v>
      </c>
      <c r="N59" s="64">
        <f>IS!O12</f>
        <v>26.553999999999998</v>
      </c>
      <c r="O59" s="64">
        <f>IS!P12</f>
        <v>26.597999999999999</v>
      </c>
      <c r="P59" s="64">
        <f>IS!Q12</f>
        <v>31.908999999999999</v>
      </c>
      <c r="Q59" s="64">
        <f>IS!R12</f>
        <v>23.910999999999987</v>
      </c>
      <c r="R59" s="64">
        <f>IS!S12</f>
        <v>26.83</v>
      </c>
      <c r="S59" s="64">
        <f>IS!T12</f>
        <v>33.542999999999999</v>
      </c>
      <c r="T59" s="244">
        <f>IS!U12</f>
        <v>38.070999999999998</v>
      </c>
      <c r="U59" s="64">
        <f>IS!V12</f>
        <v>32.123000000000019</v>
      </c>
      <c r="V59" s="64">
        <f>IS!W12</f>
        <v>41.683999999999997</v>
      </c>
      <c r="W59" s="64">
        <f>IS!X12</f>
        <v>44.896999999999998</v>
      </c>
      <c r="X59" s="64">
        <f>IS!Y12</f>
        <v>56.1</v>
      </c>
      <c r="Y59" s="64">
        <f>IS!Z12</f>
        <v>45.043124999999989</v>
      </c>
    </row>
    <row r="60" spans="2:25" ht="4.5" customHeight="1" x14ac:dyDescent="0.2"/>
    <row r="61" spans="2:25" x14ac:dyDescent="0.2">
      <c r="B61" s="179" t="s">
        <v>280</v>
      </c>
    </row>
    <row r="62" spans="2:25" x14ac:dyDescent="0.2">
      <c r="B62" s="1" t="s">
        <v>282</v>
      </c>
      <c r="D62" s="64">
        <f>D11</f>
        <v>27.292000000000002</v>
      </c>
      <c r="E62" s="64">
        <f>E11</f>
        <v>27.004000000000001</v>
      </c>
      <c r="F62" s="243">
        <f>F11</f>
        <v>31.498999999999999</v>
      </c>
      <c r="G62" s="64">
        <f>U62</f>
        <v>44.755178082191769</v>
      </c>
      <c r="H62" s="64">
        <f>Y62</f>
        <v>67.13276712328765</v>
      </c>
      <c r="I62" s="64">
        <f>I63/I$57*I$58</f>
        <v>83.488992486338816</v>
      </c>
      <c r="J62" s="64">
        <f>J63/J$57*J$58</f>
        <v>104.64716181506851</v>
      </c>
      <c r="K62" s="64">
        <f>K63/K$57*K$58</f>
        <v>125.5765941780822</v>
      </c>
      <c r="L62" s="64">
        <f>L63/L$57*L$58</f>
        <v>144.41308330479453</v>
      </c>
      <c r="N62" s="64">
        <f t="shared" ref="N62:S62" si="32">N11</f>
        <v>28.138000000000002</v>
      </c>
      <c r="O62" s="64">
        <f t="shared" si="32"/>
        <v>42.976999999999997</v>
      </c>
      <c r="P62" s="64">
        <f t="shared" si="32"/>
        <v>44.588000000000001</v>
      </c>
      <c r="Q62" s="64">
        <f t="shared" si="32"/>
        <v>31.498999999999999</v>
      </c>
      <c r="R62" s="64">
        <f t="shared" si="32"/>
        <v>56.887</v>
      </c>
      <c r="S62" s="64">
        <f t="shared" si="32"/>
        <v>57.826999999999998</v>
      </c>
      <c r="T62" s="244">
        <f t="shared" ref="T62:Y62" si="33">T63/T$57*T$58</f>
        <v>55.741369863013702</v>
      </c>
      <c r="U62" s="64">
        <f t="shared" si="33"/>
        <v>44.755178082191769</v>
      </c>
      <c r="V62" s="64">
        <f t="shared" si="33"/>
        <v>63.320109589041088</v>
      </c>
      <c r="W62" s="64">
        <f t="shared" si="33"/>
        <v>68.26939890710382</v>
      </c>
      <c r="X62" s="64">
        <f t="shared" si="33"/>
        <v>83.612054794520546</v>
      </c>
      <c r="Y62" s="64">
        <f t="shared" si="33"/>
        <v>67.13276712328765</v>
      </c>
    </row>
    <row r="63" spans="2:25" x14ac:dyDescent="0.2">
      <c r="B63" s="171" t="s">
        <v>327</v>
      </c>
      <c r="D63" s="273">
        <f>(D62/D$58)*D$57</f>
        <v>68.94017827483114</v>
      </c>
      <c r="E63" s="273">
        <f>(E62/E$58)*E$57</f>
        <v>56.310258776877582</v>
      </c>
      <c r="F63" s="274">
        <f>(F62/F$58)*F$57</f>
        <v>53.92348929703769</v>
      </c>
      <c r="G63" s="273">
        <f>(G62/G$58)*G$57</f>
        <v>53.860564796650117</v>
      </c>
      <c r="H63" s="273">
        <f>(H62/H$58)*H$57</f>
        <v>52.123127222564626</v>
      </c>
      <c r="I63" s="275">
        <v>50</v>
      </c>
      <c r="J63" s="275">
        <f>I63</f>
        <v>50</v>
      </c>
      <c r="K63" s="275">
        <f>J63</f>
        <v>50</v>
      </c>
      <c r="L63" s="275">
        <f>K63</f>
        <v>50</v>
      </c>
      <c r="N63" s="273">
        <f t="shared" ref="N63:S63" si="34">(N62/N$58)*N$57</f>
        <v>63.023870888561611</v>
      </c>
      <c r="O63" s="273">
        <f t="shared" si="34"/>
        <v>90.304447693831023</v>
      </c>
      <c r="P63" s="273">
        <f t="shared" si="34"/>
        <v>77.353796722308829</v>
      </c>
      <c r="Q63" s="273">
        <f t="shared" si="34"/>
        <v>74.169322375041901</v>
      </c>
      <c r="R63" s="273">
        <f t="shared" si="34"/>
        <v>113.82639132532233</v>
      </c>
      <c r="S63" s="273">
        <f t="shared" si="34"/>
        <v>88.354605505508857</v>
      </c>
      <c r="T63" s="276">
        <v>85</v>
      </c>
      <c r="U63" s="275">
        <f>T63</f>
        <v>85</v>
      </c>
      <c r="V63" s="275">
        <f>U63</f>
        <v>85</v>
      </c>
      <c r="W63" s="275">
        <f>V63</f>
        <v>85</v>
      </c>
      <c r="X63" s="275">
        <f>W63</f>
        <v>85</v>
      </c>
      <c r="Y63" s="275">
        <f>X63</f>
        <v>85</v>
      </c>
    </row>
    <row r="64" spans="2:25" ht="4.5" customHeight="1" x14ac:dyDescent="0.2">
      <c r="B64" s="171"/>
      <c r="D64" s="273"/>
      <c r="E64" s="273"/>
      <c r="F64" s="274"/>
      <c r="G64" s="273"/>
      <c r="H64" s="273"/>
      <c r="I64" s="273"/>
      <c r="J64" s="273"/>
      <c r="K64" s="273"/>
      <c r="L64" s="273"/>
      <c r="N64" s="273"/>
      <c r="O64" s="273"/>
      <c r="P64" s="273"/>
      <c r="Q64" s="273"/>
      <c r="R64" s="273"/>
      <c r="S64" s="273"/>
      <c r="T64" s="277"/>
      <c r="U64" s="273"/>
      <c r="V64" s="273"/>
      <c r="W64" s="273"/>
      <c r="X64" s="273"/>
      <c r="Y64" s="273"/>
    </row>
    <row r="65" spans="2:25" x14ac:dyDescent="0.2">
      <c r="B65" s="1" t="s">
        <v>283</v>
      </c>
      <c r="D65" s="64">
        <f>D12</f>
        <v>2.5049999999999999</v>
      </c>
      <c r="E65" s="64">
        <f>E12</f>
        <v>3.794</v>
      </c>
      <c r="F65" s="243">
        <f>F12</f>
        <v>13.532999999999999</v>
      </c>
      <c r="G65" s="64">
        <f>U65</f>
        <v>13.163287671232874</v>
      </c>
      <c r="H65" s="64">
        <f>Y65</f>
        <v>19.744931506849312</v>
      </c>
      <c r="I65" s="64">
        <f>I66/I57*I58</f>
        <v>25.046697745901639</v>
      </c>
      <c r="J65" s="64">
        <f>J66/J57*J58</f>
        <v>31.394148544520551</v>
      </c>
      <c r="K65" s="64">
        <f>K66/K57*K58</f>
        <v>37.67297825342466</v>
      </c>
      <c r="L65" s="64">
        <f>L66/L57*L58</f>
        <v>43.323924991438354</v>
      </c>
      <c r="N65" s="64">
        <f t="shared" ref="N65:S65" si="35">N12</f>
        <v>9.9949999999999992</v>
      </c>
      <c r="O65" s="64">
        <f t="shared" si="35"/>
        <v>6.7969999999999997</v>
      </c>
      <c r="P65" s="64">
        <f t="shared" si="35"/>
        <v>10.554</v>
      </c>
      <c r="Q65" s="64">
        <f t="shared" si="35"/>
        <v>13.532999999999999</v>
      </c>
      <c r="R65" s="64">
        <f t="shared" si="35"/>
        <v>16.149000000000001</v>
      </c>
      <c r="S65" s="64">
        <f t="shared" si="35"/>
        <v>14.58</v>
      </c>
      <c r="T65" s="244">
        <f t="shared" ref="T65:Y65" si="36">T66/T$57*T$58</f>
        <v>16.394520547945206</v>
      </c>
      <c r="U65" s="64">
        <f t="shared" si="36"/>
        <v>13.163287671232874</v>
      </c>
      <c r="V65" s="64">
        <f t="shared" si="36"/>
        <v>18.623561643835615</v>
      </c>
      <c r="W65" s="64">
        <f t="shared" si="36"/>
        <v>20.079234972677597</v>
      </c>
      <c r="X65" s="64">
        <f t="shared" si="36"/>
        <v>24.591780821917808</v>
      </c>
      <c r="Y65" s="64">
        <f t="shared" si="36"/>
        <v>19.744931506849312</v>
      </c>
    </row>
    <row r="66" spans="2:25" x14ac:dyDescent="0.2">
      <c r="B66" s="171" t="s">
        <v>330</v>
      </c>
      <c r="D66" s="273">
        <f>(D65/D$58)*D$57</f>
        <v>6.3276838113165761</v>
      </c>
      <c r="E66" s="273">
        <f>(E65/E$58)*E$57</f>
        <v>7.911462072266092</v>
      </c>
      <c r="F66" s="274">
        <f>(F65/F$58)*F$57</f>
        <v>23.167293585726881</v>
      </c>
      <c r="G66" s="273">
        <f>(G65/G$58)*G$57</f>
        <v>15.841342587250036</v>
      </c>
      <c r="H66" s="273">
        <f>(H65/H$58)*H$57</f>
        <v>15.330331536048421</v>
      </c>
      <c r="I66" s="275">
        <v>15</v>
      </c>
      <c r="J66" s="275">
        <f>I66</f>
        <v>15</v>
      </c>
      <c r="K66" s="275">
        <f>J66</f>
        <v>15</v>
      </c>
      <c r="L66" s="275">
        <f>K66</f>
        <v>15</v>
      </c>
      <c r="N66" s="273">
        <f t="shared" ref="N66:S66" si="37">(N65/N$58)*N$57</f>
        <v>22.386935444280802</v>
      </c>
      <c r="O66" s="273">
        <f t="shared" si="37"/>
        <v>14.282042277845578</v>
      </c>
      <c r="P66" s="273">
        <f t="shared" si="37"/>
        <v>18.30967907525001</v>
      </c>
      <c r="Q66" s="273">
        <f t="shared" si="37"/>
        <v>31.865565246561545</v>
      </c>
      <c r="R66" s="273">
        <f t="shared" si="37"/>
        <v>32.312872774318045</v>
      </c>
      <c r="S66" s="273">
        <f t="shared" si="37"/>
        <v>22.276966611968788</v>
      </c>
      <c r="T66" s="276">
        <v>25</v>
      </c>
      <c r="U66" s="275">
        <f>T66</f>
        <v>25</v>
      </c>
      <c r="V66" s="275">
        <f>U66</f>
        <v>25</v>
      </c>
      <c r="W66" s="275">
        <f>V66</f>
        <v>25</v>
      </c>
      <c r="X66" s="275">
        <f>W66</f>
        <v>25</v>
      </c>
      <c r="Y66" s="275">
        <f>X66</f>
        <v>25</v>
      </c>
    </row>
    <row r="67" spans="2:25" ht="4.5" customHeight="1" x14ac:dyDescent="0.2">
      <c r="B67" s="171"/>
      <c r="D67" s="273"/>
      <c r="E67" s="273"/>
      <c r="F67" s="274"/>
      <c r="G67" s="273"/>
      <c r="H67" s="273"/>
      <c r="I67" s="273"/>
      <c r="J67" s="273"/>
      <c r="K67" s="273"/>
      <c r="L67" s="273"/>
      <c r="N67" s="273"/>
      <c r="O67" s="273"/>
      <c r="P67" s="273"/>
      <c r="Q67" s="273"/>
      <c r="R67" s="273"/>
      <c r="S67" s="273"/>
      <c r="T67" s="277"/>
      <c r="U67" s="273"/>
      <c r="V67" s="273"/>
      <c r="W67" s="273"/>
      <c r="X67" s="273"/>
      <c r="Y67" s="273"/>
    </row>
    <row r="68" spans="2:25" x14ac:dyDescent="0.2">
      <c r="B68" s="1" t="s">
        <v>284</v>
      </c>
      <c r="D68" s="64">
        <f>D13</f>
        <v>8.8339999999999996</v>
      </c>
      <c r="E68" s="64">
        <f>E13</f>
        <v>15.121</v>
      </c>
      <c r="F68" s="243">
        <f>F13</f>
        <v>38.368000000000002</v>
      </c>
      <c r="G68" s="64">
        <f>U68</f>
        <v>52.804931506849343</v>
      </c>
      <c r="H68" s="64">
        <f>Y68</f>
        <v>74.04349315068491</v>
      </c>
      <c r="I68" s="64">
        <f>I69/I57*I59</f>
        <v>62.616744364754105</v>
      </c>
      <c r="J68" s="64">
        <f>J69/J57*J59</f>
        <v>78.799312846746574</v>
      </c>
      <c r="K68" s="64">
        <f>K69/K57*K59</f>
        <v>94.935905198630124</v>
      </c>
      <c r="L68" s="64">
        <f>L69/L57*L59</f>
        <v>109.60953022833903</v>
      </c>
      <c r="N68" s="64">
        <f t="shared" ref="N68:S68" si="38">N13</f>
        <v>21.091999999999999</v>
      </c>
      <c r="O68" s="64">
        <f t="shared" si="38"/>
        <v>21.271999999999998</v>
      </c>
      <c r="P68" s="64">
        <f t="shared" si="38"/>
        <v>27.832000000000001</v>
      </c>
      <c r="Q68" s="64">
        <f t="shared" si="38"/>
        <v>38.368000000000002</v>
      </c>
      <c r="R68" s="64">
        <f t="shared" si="38"/>
        <v>49.478999999999999</v>
      </c>
      <c r="S68" s="64">
        <f t="shared" si="38"/>
        <v>64.960999999999999</v>
      </c>
      <c r="T68" s="244">
        <f t="shared" ref="T68:Y68" si="39">T69/T$57*T$59</f>
        <v>62.58246575342465</v>
      </c>
      <c r="U68" s="64">
        <f t="shared" si="39"/>
        <v>52.804931506849343</v>
      </c>
      <c r="V68" s="64">
        <f t="shared" si="39"/>
        <v>68.52164383561643</v>
      </c>
      <c r="W68" s="64">
        <f t="shared" si="39"/>
        <v>73.601639344262296</v>
      </c>
      <c r="X68" s="64">
        <f t="shared" si="39"/>
        <v>92.219178082191775</v>
      </c>
      <c r="Y68" s="64">
        <f t="shared" si="39"/>
        <v>74.04349315068491</v>
      </c>
    </row>
    <row r="69" spans="2:25" x14ac:dyDescent="0.2">
      <c r="B69" s="171" t="s">
        <v>331</v>
      </c>
      <c r="D69" s="273">
        <f>(D68/D$59)*D$57</f>
        <v>32.152786087511465</v>
      </c>
      <c r="E69" s="273">
        <f>(E68/E$59)*E$57</f>
        <v>50.786312080167384</v>
      </c>
      <c r="F69" s="274">
        <f>(F68/F$59)*F$57</f>
        <v>107.2577297479455</v>
      </c>
      <c r="G69" s="273">
        <f>(G68/G$59)*G$57</f>
        <v>102.67087408184757</v>
      </c>
      <c r="H69" s="273">
        <f>(H68/H$59)*H$57</f>
        <v>91.981989216290515</v>
      </c>
      <c r="I69" s="275">
        <v>60</v>
      </c>
      <c r="J69" s="275">
        <f>I69</f>
        <v>60</v>
      </c>
      <c r="K69" s="275">
        <f>J69</f>
        <v>60</v>
      </c>
      <c r="L69" s="275">
        <f>K69</f>
        <v>60</v>
      </c>
      <c r="N69" s="273">
        <f t="shared" ref="N69:S69" si="40">(N68/N$59)*N$57</f>
        <v>72.480417262935902</v>
      </c>
      <c r="O69" s="273">
        <f t="shared" si="40"/>
        <v>72.978043461914424</v>
      </c>
      <c r="P69" s="273">
        <f t="shared" si="40"/>
        <v>79.591024475853217</v>
      </c>
      <c r="Q69" s="273">
        <f t="shared" si="40"/>
        <v>146.42131236669326</v>
      </c>
      <c r="R69" s="273">
        <f t="shared" si="40"/>
        <v>168.28023667536343</v>
      </c>
      <c r="S69" s="273">
        <f t="shared" si="40"/>
        <v>176.71917389619296</v>
      </c>
      <c r="T69" s="276">
        <v>150</v>
      </c>
      <c r="U69" s="275">
        <f>T69</f>
        <v>150</v>
      </c>
      <c r="V69" s="275">
        <f>U69</f>
        <v>150</v>
      </c>
      <c r="W69" s="275">
        <f>V69</f>
        <v>150</v>
      </c>
      <c r="X69" s="275">
        <f>W69</f>
        <v>150</v>
      </c>
      <c r="Y69" s="275">
        <f>X69</f>
        <v>150</v>
      </c>
    </row>
    <row r="70" spans="2:25" s="21" customFormat="1" ht="4.5" customHeight="1" x14ac:dyDescent="0.2">
      <c r="B70" s="278"/>
      <c r="D70" s="279"/>
      <c r="E70" s="279"/>
      <c r="F70" s="274"/>
      <c r="G70" s="279"/>
      <c r="H70" s="279"/>
      <c r="I70" s="279"/>
      <c r="J70" s="279"/>
      <c r="K70" s="279"/>
      <c r="L70" s="279"/>
      <c r="N70" s="279"/>
      <c r="O70" s="279"/>
      <c r="P70" s="279"/>
      <c r="Q70" s="279"/>
      <c r="R70" s="279"/>
      <c r="S70" s="279"/>
      <c r="T70" s="277"/>
      <c r="U70" s="279"/>
      <c r="V70" s="279"/>
      <c r="W70" s="279"/>
      <c r="X70" s="279"/>
      <c r="Y70" s="279"/>
    </row>
    <row r="71" spans="2:25" x14ac:dyDescent="0.2">
      <c r="B71" s="21" t="s">
        <v>285</v>
      </c>
      <c r="D71" s="188">
        <f>D14</f>
        <v>0.79800000000000004</v>
      </c>
      <c r="E71" s="188">
        <f>E14</f>
        <v>0.155</v>
      </c>
      <c r="F71" s="243">
        <f>F14</f>
        <v>5.0419999999999998</v>
      </c>
      <c r="G71" s="64">
        <f>U71</f>
        <v>7.2068999999999983</v>
      </c>
      <c r="H71" s="64">
        <f>Y71</f>
        <v>10.810349999999998</v>
      </c>
      <c r="I71" s="64">
        <f>I72*I58</f>
        <v>18.33418275</v>
      </c>
      <c r="J71" s="64">
        <f>J72*J58</f>
        <v>22.917728437500003</v>
      </c>
      <c r="K71" s="64">
        <f>K72*K58</f>
        <v>27.501274125000002</v>
      </c>
      <c r="L71" s="64">
        <f>L72*L58</f>
        <v>31.626465243750001</v>
      </c>
      <c r="N71" s="188">
        <f t="shared" ref="N71:S71" si="41">N14</f>
        <v>6.5119999999999996</v>
      </c>
      <c r="O71" s="188">
        <f t="shared" si="41"/>
        <v>7.2919999999999998</v>
      </c>
      <c r="P71" s="188">
        <f t="shared" si="41"/>
        <v>11.706</v>
      </c>
      <c r="Q71" s="188">
        <f t="shared" si="41"/>
        <v>5.0419999999999998</v>
      </c>
      <c r="R71" s="188">
        <f t="shared" si="41"/>
        <v>12.651</v>
      </c>
      <c r="S71" s="188">
        <f t="shared" si="41"/>
        <v>8.827</v>
      </c>
      <c r="T71" s="244">
        <f t="shared" ref="T71:Y71" si="42">T72*T58</f>
        <v>8.9760000000000009</v>
      </c>
      <c r="U71" s="188">
        <f t="shared" si="42"/>
        <v>7.2068999999999983</v>
      </c>
      <c r="V71" s="188">
        <f t="shared" si="42"/>
        <v>10.196399999999999</v>
      </c>
      <c r="W71" s="188">
        <f t="shared" si="42"/>
        <v>11.023499999999999</v>
      </c>
      <c r="X71" s="188">
        <f t="shared" si="42"/>
        <v>13.464</v>
      </c>
      <c r="Y71" s="188">
        <f t="shared" si="42"/>
        <v>10.810349999999998</v>
      </c>
    </row>
    <row r="72" spans="2:25" x14ac:dyDescent="0.2">
      <c r="B72" s="171" t="s">
        <v>60</v>
      </c>
      <c r="D72" s="30">
        <f>D71/D58</f>
        <v>5.5226442254456866E-3</v>
      </c>
      <c r="E72" s="30">
        <f>E71/E58</f>
        <v>8.8310030880023695E-4</v>
      </c>
      <c r="F72" s="280">
        <f>F71/F58</f>
        <v>2.3647824700298296E-2</v>
      </c>
      <c r="G72" s="30">
        <f>G71/G58</f>
        <v>2.3762013880875052E-2</v>
      </c>
      <c r="H72" s="30">
        <f>H71/H58</f>
        <v>2.2995497304072628E-2</v>
      </c>
      <c r="I72" s="281">
        <v>0.03</v>
      </c>
      <c r="J72" s="281">
        <f>I72</f>
        <v>0.03</v>
      </c>
      <c r="K72" s="281">
        <f>J72</f>
        <v>0.03</v>
      </c>
      <c r="L72" s="281">
        <f>K72</f>
        <v>0.03</v>
      </c>
      <c r="N72" s="30">
        <f t="shared" ref="N72:S72" si="43">N71/N58</f>
        <v>0.1598429062346588</v>
      </c>
      <c r="O72" s="30">
        <f t="shared" si="43"/>
        <v>0.16791397057130356</v>
      </c>
      <c r="P72" s="30">
        <f t="shared" si="43"/>
        <v>0.22255599072208068</v>
      </c>
      <c r="Q72" s="30">
        <f t="shared" si="43"/>
        <v>0.13010605630531824</v>
      </c>
      <c r="R72" s="30">
        <f t="shared" si="43"/>
        <v>0.27740987632663799</v>
      </c>
      <c r="S72" s="30">
        <f t="shared" si="43"/>
        <v>0.1478014801915542</v>
      </c>
      <c r="T72" s="282">
        <v>0.15</v>
      </c>
      <c r="U72" s="281">
        <f>T72</f>
        <v>0.15</v>
      </c>
      <c r="V72" s="281">
        <f>U72</f>
        <v>0.15</v>
      </c>
      <c r="W72" s="281">
        <f>V72</f>
        <v>0.15</v>
      </c>
      <c r="X72" s="281">
        <f>W72</f>
        <v>0.15</v>
      </c>
      <c r="Y72" s="281">
        <f>X72</f>
        <v>0.15</v>
      </c>
    </row>
    <row r="73" spans="2:25" ht="4.5" customHeight="1" x14ac:dyDescent="0.2">
      <c r="B73" s="171"/>
      <c r="D73" s="273"/>
      <c r="E73" s="273"/>
      <c r="F73" s="274"/>
      <c r="G73" s="273"/>
      <c r="H73" s="273"/>
      <c r="I73" s="273"/>
      <c r="J73" s="273"/>
      <c r="K73" s="273"/>
      <c r="L73" s="273"/>
      <c r="N73" s="273"/>
      <c r="O73" s="273"/>
      <c r="P73" s="273"/>
      <c r="Q73" s="273"/>
      <c r="R73" s="273"/>
      <c r="S73" s="273"/>
      <c r="T73" s="277"/>
      <c r="U73" s="273"/>
      <c r="V73" s="273"/>
      <c r="W73" s="273"/>
      <c r="X73" s="273"/>
      <c r="Y73" s="273"/>
    </row>
    <row r="74" spans="2:25" s="73" customFormat="1" ht="15" x14ac:dyDescent="0.25">
      <c r="B74" s="181" t="s">
        <v>133</v>
      </c>
      <c r="D74" s="182">
        <f t="shared" ref="D74:L74" si="44">SUM(D62,D65,D68,D71)</f>
        <v>39.429000000000002</v>
      </c>
      <c r="E74" s="182">
        <f t="shared" si="44"/>
        <v>46.074000000000005</v>
      </c>
      <c r="F74" s="283">
        <f t="shared" si="44"/>
        <v>88.442000000000007</v>
      </c>
      <c r="G74" s="182">
        <f t="shared" si="44"/>
        <v>117.93029726027399</v>
      </c>
      <c r="H74" s="182">
        <f t="shared" si="44"/>
        <v>171.73154178082186</v>
      </c>
      <c r="I74" s="182">
        <f t="shared" si="44"/>
        <v>189.48661734699456</v>
      </c>
      <c r="J74" s="182">
        <f t="shared" si="44"/>
        <v>237.75835164383562</v>
      </c>
      <c r="K74" s="182">
        <f t="shared" si="44"/>
        <v>285.68675175513698</v>
      </c>
      <c r="L74" s="182">
        <f t="shared" si="44"/>
        <v>328.97300376832186</v>
      </c>
      <c r="N74" s="182">
        <f>SUM(N62,N65,N68,N71)</f>
        <v>65.736999999999995</v>
      </c>
      <c r="O74" s="182">
        <f>SUM(O62,O65,O68,O71)</f>
        <v>78.337999999999994</v>
      </c>
      <c r="P74" s="182">
        <f>SUM(P62,P65,P68,P71)</f>
        <v>94.68</v>
      </c>
      <c r="Q74" s="182">
        <f t="shared" ref="Q74:Y74" si="45">SUM(Q62,Q65,Q68,Q71)</f>
        <v>88.442000000000007</v>
      </c>
      <c r="R74" s="182">
        <f t="shared" si="45"/>
        <v>135.166</v>
      </c>
      <c r="S74" s="182">
        <f t="shared" si="45"/>
        <v>146.19499999999999</v>
      </c>
      <c r="T74" s="284">
        <f t="shared" si="45"/>
        <v>143.69435616438355</v>
      </c>
      <c r="U74" s="182">
        <f t="shared" si="45"/>
        <v>117.93029726027399</v>
      </c>
      <c r="V74" s="182">
        <f t="shared" si="45"/>
        <v>160.66171506849315</v>
      </c>
      <c r="W74" s="182">
        <f t="shared" si="45"/>
        <v>172.97377322404373</v>
      </c>
      <c r="X74" s="182">
        <f t="shared" si="45"/>
        <v>213.88701369863014</v>
      </c>
      <c r="Y74" s="182">
        <f t="shared" si="45"/>
        <v>171.73154178082186</v>
      </c>
    </row>
    <row r="75" spans="2:25" x14ac:dyDescent="0.2">
      <c r="B75" s="1" t="s">
        <v>324</v>
      </c>
      <c r="D75" s="30">
        <f t="shared" ref="D75:L75" si="46">D74/D58</f>
        <v>0.2728726054700476</v>
      </c>
      <c r="E75" s="30">
        <f t="shared" si="46"/>
        <v>0.26250299114620723</v>
      </c>
      <c r="F75" s="280">
        <f t="shared" si="46"/>
        <v>0.41480779693450653</v>
      </c>
      <c r="G75" s="30">
        <f t="shared" si="46"/>
        <v>0.38883033765895914</v>
      </c>
      <c r="H75" s="30">
        <f t="shared" si="46"/>
        <v>0.36530290009529071</v>
      </c>
      <c r="I75" s="30">
        <f t="shared" si="46"/>
        <v>0.31005464480874317</v>
      </c>
      <c r="J75" s="30">
        <f t="shared" si="46"/>
        <v>0.31123287671232874</v>
      </c>
      <c r="K75" s="30">
        <f t="shared" si="46"/>
        <v>0.31164383561643832</v>
      </c>
      <c r="L75" s="30">
        <f t="shared" si="46"/>
        <v>0.31205479452054785</v>
      </c>
      <c r="N75" s="30">
        <f>N74/N58</f>
        <v>1.6135738831615118</v>
      </c>
      <c r="O75" s="30">
        <f>O74/O58</f>
        <v>1.8039007990420706</v>
      </c>
      <c r="P75" s="30">
        <f>P74/P58</f>
        <v>1.8000684436670598</v>
      </c>
      <c r="Q75" s="30">
        <f t="shared" ref="Q75:Y75" si="47">Q74/Q58</f>
        <v>2.2821975072897573</v>
      </c>
      <c r="R75" s="30">
        <f t="shared" si="47"/>
        <v>2.9639066748530829</v>
      </c>
      <c r="S75" s="30">
        <f t="shared" si="47"/>
        <v>2.4479253876293492</v>
      </c>
      <c r="T75" s="285">
        <f t="shared" si="47"/>
        <v>2.401309427880741</v>
      </c>
      <c r="U75" s="30">
        <f t="shared" si="47"/>
        <v>2.4545289360253508</v>
      </c>
      <c r="V75" s="30">
        <f t="shared" si="47"/>
        <v>2.363506459169312</v>
      </c>
      <c r="W75" s="30">
        <f t="shared" si="47"/>
        <v>2.3537049016742921</v>
      </c>
      <c r="X75" s="30">
        <f t="shared" si="47"/>
        <v>2.3828767123287671</v>
      </c>
      <c r="Y75" s="30">
        <f t="shared" si="47"/>
        <v>2.3828767123287666</v>
      </c>
    </row>
    <row r="76" spans="2:25" x14ac:dyDescent="0.2">
      <c r="D76" s="64"/>
      <c r="E76" s="64"/>
      <c r="F76" s="243"/>
      <c r="G76" s="64"/>
      <c r="H76" s="64"/>
      <c r="I76" s="64"/>
      <c r="J76" s="64"/>
      <c r="K76" s="64"/>
      <c r="L76" s="64"/>
      <c r="N76" s="64"/>
      <c r="O76" s="64"/>
      <c r="P76" s="64"/>
      <c r="Q76" s="64"/>
      <c r="R76" s="64"/>
      <c r="S76" s="64"/>
      <c r="T76" s="244"/>
      <c r="U76" s="64"/>
      <c r="V76" s="64"/>
      <c r="W76" s="64"/>
      <c r="X76" s="64"/>
      <c r="Y76" s="64"/>
    </row>
    <row r="77" spans="2:25" x14ac:dyDescent="0.2">
      <c r="B77" s="179" t="s">
        <v>290</v>
      </c>
      <c r="D77" s="64"/>
      <c r="E77" s="64"/>
      <c r="F77" s="243"/>
      <c r="G77" s="64"/>
      <c r="H77" s="64"/>
      <c r="I77" s="64"/>
      <c r="J77" s="64"/>
      <c r="K77" s="64"/>
      <c r="L77" s="64"/>
      <c r="N77" s="64"/>
      <c r="O77" s="64"/>
      <c r="P77" s="64"/>
      <c r="Q77" s="64"/>
      <c r="R77" s="64"/>
      <c r="S77" s="64"/>
      <c r="T77" s="244"/>
      <c r="U77" s="64"/>
      <c r="V77" s="64"/>
      <c r="W77" s="64"/>
      <c r="X77" s="64"/>
      <c r="Y77" s="64"/>
    </row>
    <row r="78" spans="2:25" x14ac:dyDescent="0.2">
      <c r="B78" s="1" t="s">
        <v>291</v>
      </c>
      <c r="D78" s="64">
        <f>D27</f>
        <v>10.382999999999999</v>
      </c>
      <c r="E78" s="64">
        <f>E27</f>
        <v>14.634</v>
      </c>
      <c r="F78" s="243">
        <f>F27</f>
        <v>19.984999999999999</v>
      </c>
      <c r="G78" s="64">
        <f>U78</f>
        <v>17.601643835616446</v>
      </c>
      <c r="H78" s="64">
        <f>Y78</f>
        <v>24.681164383561637</v>
      </c>
      <c r="I78" s="64">
        <f>I79/I57*I59</f>
        <v>41.744496243169408</v>
      </c>
      <c r="J78" s="64">
        <f>J79/J57*J59</f>
        <v>52.532875231164383</v>
      </c>
      <c r="K78" s="64">
        <f>K79/K57*K59</f>
        <v>63.290603465753414</v>
      </c>
      <c r="L78" s="64">
        <f>L79/L57*L59</f>
        <v>73.073020152226007</v>
      </c>
      <c r="N78" s="64">
        <f t="shared" ref="N78:S78" si="48">N27</f>
        <v>12.941000000000001</v>
      </c>
      <c r="O78" s="64">
        <f t="shared" si="48"/>
        <v>14.224</v>
      </c>
      <c r="P78" s="64">
        <f t="shared" si="48"/>
        <v>18.664000000000001</v>
      </c>
      <c r="Q78" s="64">
        <f t="shared" si="48"/>
        <v>19.984999999999999</v>
      </c>
      <c r="R78" s="64">
        <f t="shared" si="48"/>
        <v>17.879000000000001</v>
      </c>
      <c r="S78" s="64">
        <f t="shared" si="48"/>
        <v>24.257999999999999</v>
      </c>
      <c r="T78" s="244">
        <f t="shared" ref="T78:Y78" si="49">T79/T57*T59</f>
        <v>20.860821917808217</v>
      </c>
      <c r="U78" s="64">
        <f t="shared" si="49"/>
        <v>17.601643835616446</v>
      </c>
      <c r="V78" s="64">
        <f t="shared" si="49"/>
        <v>22.840547945205476</v>
      </c>
      <c r="W78" s="64">
        <f t="shared" si="49"/>
        <v>24.533879781420765</v>
      </c>
      <c r="X78" s="64">
        <f t="shared" si="49"/>
        <v>30.739726027397261</v>
      </c>
      <c r="Y78" s="64">
        <f t="shared" si="49"/>
        <v>24.681164383561637</v>
      </c>
    </row>
    <row r="79" spans="2:25" x14ac:dyDescent="0.2">
      <c r="B79" s="171" t="s">
        <v>332</v>
      </c>
      <c r="D79" s="273">
        <f>(D78/D$59)*D$57</f>
        <v>37.790624626061977</v>
      </c>
      <c r="E79" s="273">
        <f>(E78/E$59)*E$57</f>
        <v>49.150644202180381</v>
      </c>
      <c r="F79" s="274">
        <f>(F78/F$59)*F$57</f>
        <v>55.868060076435853</v>
      </c>
      <c r="G79" s="273">
        <f>(G78/G$59)*G$57</f>
        <v>34.223624693949191</v>
      </c>
      <c r="H79" s="273">
        <f>(H78/H$59)*H$57</f>
        <v>30.660663072096835</v>
      </c>
      <c r="I79" s="275">
        <v>40</v>
      </c>
      <c r="J79" s="275">
        <f>I79</f>
        <v>40</v>
      </c>
      <c r="K79" s="275">
        <f>J79</f>
        <v>40</v>
      </c>
      <c r="L79" s="275">
        <f>K79</f>
        <v>40</v>
      </c>
      <c r="N79" s="273">
        <f t="shared" ref="N79:S79" si="50">(N78/N$59)*N$57</f>
        <v>44.470371695413121</v>
      </c>
      <c r="O79" s="273">
        <f t="shared" si="50"/>
        <v>48.798405895180089</v>
      </c>
      <c r="P79" s="273">
        <f t="shared" si="50"/>
        <v>53.373342943996995</v>
      </c>
      <c r="Q79" s="273">
        <f t="shared" si="50"/>
        <v>76.267460582995312</v>
      </c>
      <c r="R79" s="273">
        <f t="shared" si="50"/>
        <v>60.807258665672762</v>
      </c>
      <c r="S79" s="273">
        <f t="shared" si="50"/>
        <v>65.991190412306594</v>
      </c>
      <c r="T79" s="276">
        <v>50</v>
      </c>
      <c r="U79" s="275">
        <f>T79</f>
        <v>50</v>
      </c>
      <c r="V79" s="275">
        <f>U79</f>
        <v>50</v>
      </c>
      <c r="W79" s="275">
        <f>V79</f>
        <v>50</v>
      </c>
      <c r="X79" s="275">
        <f>W79</f>
        <v>50</v>
      </c>
      <c r="Y79" s="275">
        <f>X79</f>
        <v>50</v>
      </c>
    </row>
    <row r="80" spans="2:25" ht="3" customHeight="1" x14ac:dyDescent="0.2">
      <c r="B80" s="171"/>
      <c r="D80" s="273"/>
      <c r="E80" s="273"/>
      <c r="F80" s="274"/>
      <c r="G80" s="273"/>
      <c r="H80" s="273"/>
      <c r="I80" s="273"/>
      <c r="J80" s="273"/>
      <c r="K80" s="273"/>
      <c r="L80" s="273"/>
      <c r="N80" s="273"/>
      <c r="O80" s="273"/>
      <c r="P80" s="273"/>
      <c r="Q80" s="273"/>
      <c r="R80" s="273"/>
      <c r="S80" s="273"/>
      <c r="T80" s="277"/>
      <c r="U80" s="273"/>
      <c r="V80" s="273"/>
      <c r="W80" s="273"/>
      <c r="X80" s="273"/>
      <c r="Y80" s="273"/>
    </row>
    <row r="81" spans="2:25" x14ac:dyDescent="0.2">
      <c r="B81" s="1" t="s">
        <v>292</v>
      </c>
      <c r="D81" s="64">
        <f>D28</f>
        <v>1.264</v>
      </c>
      <c r="E81" s="64">
        <f>E28</f>
        <v>5.9669999999999996</v>
      </c>
      <c r="F81" s="243">
        <f>F28</f>
        <v>9.5690000000000008</v>
      </c>
      <c r="G81" s="64">
        <f>U81</f>
        <v>16.061500000000009</v>
      </c>
      <c r="H81" s="64">
        <f>Y81</f>
        <v>22.521562499999995</v>
      </c>
      <c r="I81" s="64">
        <f>I82*I58</f>
        <v>55.002548250000004</v>
      </c>
      <c r="J81" s="64">
        <f>J82*J58</f>
        <v>68.753185312500008</v>
      </c>
      <c r="K81" s="64">
        <f>K82*K58</f>
        <v>82.503822375000013</v>
      </c>
      <c r="L81" s="64">
        <f>L82*L58</f>
        <v>94.87939573125</v>
      </c>
      <c r="N81" s="64">
        <f t="shared" ref="N81:S81" si="51">N28</f>
        <v>8.5340000000000007</v>
      </c>
      <c r="O81" s="64">
        <f t="shared" si="51"/>
        <v>9.4990000000000006</v>
      </c>
      <c r="P81" s="64">
        <f t="shared" si="51"/>
        <v>15.112</v>
      </c>
      <c r="Q81" s="64">
        <f t="shared" si="51"/>
        <v>9.5690000000000008</v>
      </c>
      <c r="R81" s="64">
        <f t="shared" si="51"/>
        <v>14.763999999999999</v>
      </c>
      <c r="S81" s="64">
        <f t="shared" si="51"/>
        <v>25.297000000000001</v>
      </c>
      <c r="T81" s="244">
        <f t="shared" ref="T81:Y81" si="52">T82*T59</f>
        <v>19.035499999999999</v>
      </c>
      <c r="U81" s="64">
        <f t="shared" si="52"/>
        <v>16.061500000000009</v>
      </c>
      <c r="V81" s="64">
        <f t="shared" si="52"/>
        <v>20.841999999999999</v>
      </c>
      <c r="W81" s="64">
        <f t="shared" si="52"/>
        <v>22.448499999999999</v>
      </c>
      <c r="X81" s="64">
        <f t="shared" si="52"/>
        <v>28.05</v>
      </c>
      <c r="Y81" s="64">
        <f t="shared" si="52"/>
        <v>22.521562499999995</v>
      </c>
    </row>
    <row r="82" spans="2:25" x14ac:dyDescent="0.2">
      <c r="B82" s="171" t="s">
        <v>333</v>
      </c>
      <c r="D82" s="30">
        <f>D81/D59</f>
        <v>1.260420406046827E-2</v>
      </c>
      <c r="E82" s="30">
        <f>E81/E59</f>
        <v>5.475718533201189E-2</v>
      </c>
      <c r="F82" s="280">
        <f>F81/F59</f>
        <v>7.3288043686383239E-2</v>
      </c>
      <c r="G82" s="30">
        <f>G81/G59</f>
        <v>8.5559061734872988E-2</v>
      </c>
      <c r="H82" s="30">
        <f>H81/H59</f>
        <v>7.6651657680242097E-2</v>
      </c>
      <c r="I82" s="281">
        <v>0.09</v>
      </c>
      <c r="J82" s="281">
        <f>I82</f>
        <v>0.09</v>
      </c>
      <c r="K82" s="281">
        <f>J82</f>
        <v>0.09</v>
      </c>
      <c r="L82" s="281">
        <f>K82</f>
        <v>0.09</v>
      </c>
      <c r="N82" s="30">
        <f t="shared" ref="N82:S82" si="53">N81/N59</f>
        <v>0.32138284250960314</v>
      </c>
      <c r="O82" s="30">
        <f t="shared" si="53"/>
        <v>0.35713211519663135</v>
      </c>
      <c r="P82" s="30">
        <f t="shared" si="53"/>
        <v>0.4735967908740481</v>
      </c>
      <c r="Q82" s="30">
        <f t="shared" si="53"/>
        <v>0.40019238007611585</v>
      </c>
      <c r="R82" s="30">
        <f t="shared" si="53"/>
        <v>0.55027953783078642</v>
      </c>
      <c r="S82" s="30">
        <f t="shared" si="53"/>
        <v>0.75416629401067292</v>
      </c>
      <c r="T82" s="282">
        <v>0.5</v>
      </c>
      <c r="U82" s="281">
        <f>T82</f>
        <v>0.5</v>
      </c>
      <c r="V82" s="281">
        <f>U82</f>
        <v>0.5</v>
      </c>
      <c r="W82" s="281">
        <f>V82</f>
        <v>0.5</v>
      </c>
      <c r="X82" s="281">
        <f>W82</f>
        <v>0.5</v>
      </c>
      <c r="Y82" s="281">
        <f>X82</f>
        <v>0.5</v>
      </c>
    </row>
    <row r="83" spans="2:25" ht="3" customHeight="1" x14ac:dyDescent="0.2">
      <c r="B83" s="171"/>
      <c r="D83" s="30"/>
      <c r="E83" s="30"/>
      <c r="F83" s="280"/>
      <c r="G83" s="30"/>
      <c r="H83" s="30"/>
      <c r="I83" s="30"/>
      <c r="J83" s="30"/>
      <c r="K83" s="30"/>
      <c r="L83" s="30"/>
      <c r="N83" s="30"/>
      <c r="O83" s="30"/>
      <c r="P83" s="30"/>
      <c r="Q83" s="30"/>
      <c r="R83" s="30"/>
      <c r="S83" s="30"/>
      <c r="T83" s="285"/>
      <c r="U83" s="30"/>
      <c r="V83" s="30"/>
      <c r="W83" s="30"/>
      <c r="X83" s="30"/>
      <c r="Y83" s="30"/>
    </row>
    <row r="84" spans="2:25" s="73" customFormat="1" ht="15" x14ac:dyDescent="0.25">
      <c r="B84" s="181" t="s">
        <v>141</v>
      </c>
      <c r="D84" s="182">
        <f>SUM(D78,D81)</f>
        <v>11.646999999999998</v>
      </c>
      <c r="E84" s="182">
        <f t="shared" ref="E84:L84" si="54">SUM(E78,E81)</f>
        <v>20.600999999999999</v>
      </c>
      <c r="F84" s="283">
        <f t="shared" si="54"/>
        <v>29.554000000000002</v>
      </c>
      <c r="G84" s="182">
        <f t="shared" si="54"/>
        <v>33.663143835616452</v>
      </c>
      <c r="H84" s="182">
        <f t="shared" si="54"/>
        <v>47.202726883561631</v>
      </c>
      <c r="I84" s="182">
        <f t="shared" si="54"/>
        <v>96.747044493169412</v>
      </c>
      <c r="J84" s="182">
        <f t="shared" si="54"/>
        <v>121.28606054366439</v>
      </c>
      <c r="K84" s="182">
        <f t="shared" si="54"/>
        <v>145.79442584075343</v>
      </c>
      <c r="L84" s="182">
        <f t="shared" si="54"/>
        <v>167.95241588347602</v>
      </c>
      <c r="N84" s="182">
        <f>SUM(N78,N81)</f>
        <v>21.475000000000001</v>
      </c>
      <c r="O84" s="182">
        <f>SUM(O78,O81)</f>
        <v>23.722999999999999</v>
      </c>
      <c r="P84" s="182">
        <f>SUM(P78,P81)</f>
        <v>33.776000000000003</v>
      </c>
      <c r="Q84" s="182">
        <f t="shared" ref="Q84:Y84" si="55">SUM(Q78,Q81)</f>
        <v>29.554000000000002</v>
      </c>
      <c r="R84" s="182">
        <f t="shared" si="55"/>
        <v>32.643000000000001</v>
      </c>
      <c r="S84" s="182">
        <f t="shared" si="55"/>
        <v>49.555</v>
      </c>
      <c r="T84" s="284">
        <f t="shared" si="55"/>
        <v>39.896321917808216</v>
      </c>
      <c r="U84" s="182">
        <f t="shared" si="55"/>
        <v>33.663143835616452</v>
      </c>
      <c r="V84" s="182">
        <f t="shared" si="55"/>
        <v>43.682547945205471</v>
      </c>
      <c r="W84" s="182">
        <f t="shared" si="55"/>
        <v>46.982379781420761</v>
      </c>
      <c r="X84" s="182">
        <f t="shared" si="55"/>
        <v>58.789726027397265</v>
      </c>
      <c r="Y84" s="182">
        <f t="shared" si="55"/>
        <v>47.202726883561631</v>
      </c>
    </row>
    <row r="85" spans="2:25" x14ac:dyDescent="0.2">
      <c r="D85" s="64"/>
      <c r="E85" s="64"/>
      <c r="F85" s="243"/>
      <c r="G85" s="64"/>
      <c r="H85" s="64"/>
      <c r="I85" s="64"/>
      <c r="J85" s="64"/>
      <c r="K85" s="64"/>
      <c r="L85" s="64"/>
      <c r="N85" s="64"/>
      <c r="O85" s="64"/>
      <c r="P85" s="64"/>
      <c r="Q85" s="64"/>
      <c r="R85" s="64"/>
      <c r="S85" s="64"/>
      <c r="T85" s="244"/>
      <c r="U85" s="64"/>
      <c r="V85" s="64"/>
      <c r="W85" s="64"/>
      <c r="X85" s="64"/>
      <c r="Y85" s="64"/>
    </row>
    <row r="86" spans="2:25" x14ac:dyDescent="0.2">
      <c r="B86" s="1" t="s">
        <v>325</v>
      </c>
      <c r="D86" s="64">
        <f t="shared" ref="D86:L86" si="56">D74-D84</f>
        <v>27.782000000000004</v>
      </c>
      <c r="E86" s="64">
        <f t="shared" si="56"/>
        <v>25.473000000000006</v>
      </c>
      <c r="F86" s="243">
        <f t="shared" si="56"/>
        <v>58.888000000000005</v>
      </c>
      <c r="G86" s="64">
        <f t="shared" si="56"/>
        <v>84.267153424657536</v>
      </c>
      <c r="H86" s="64">
        <f t="shared" si="56"/>
        <v>124.52881489726022</v>
      </c>
      <c r="I86" s="64">
        <f t="shared" si="56"/>
        <v>92.739572853825152</v>
      </c>
      <c r="J86" s="64">
        <f t="shared" si="56"/>
        <v>116.47229110017123</v>
      </c>
      <c r="K86" s="64">
        <f t="shared" si="56"/>
        <v>139.89232591438355</v>
      </c>
      <c r="L86" s="64">
        <f t="shared" si="56"/>
        <v>161.02058788484584</v>
      </c>
      <c r="N86" s="64">
        <f>N74-N84</f>
        <v>44.261999999999993</v>
      </c>
      <c r="O86" s="64">
        <f>O74-O84</f>
        <v>54.614999999999995</v>
      </c>
      <c r="P86" s="64">
        <f>P74-P84</f>
        <v>60.904000000000003</v>
      </c>
      <c r="Q86" s="64">
        <f t="shared" ref="Q86:Y86" si="57">Q74-Q84</f>
        <v>58.888000000000005</v>
      </c>
      <c r="R86" s="64">
        <f t="shared" si="57"/>
        <v>102.523</v>
      </c>
      <c r="S86" s="64">
        <f t="shared" si="57"/>
        <v>96.639999999999986</v>
      </c>
      <c r="T86" s="244">
        <f t="shared" si="57"/>
        <v>103.79803424657533</v>
      </c>
      <c r="U86" s="64">
        <f t="shared" si="57"/>
        <v>84.267153424657536</v>
      </c>
      <c r="V86" s="64">
        <f t="shared" si="57"/>
        <v>116.97916712328768</v>
      </c>
      <c r="W86" s="64">
        <f t="shared" si="57"/>
        <v>125.99139344262296</v>
      </c>
      <c r="X86" s="64">
        <f t="shared" si="57"/>
        <v>155.09728767123289</v>
      </c>
      <c r="Y86" s="64">
        <f t="shared" si="57"/>
        <v>124.52881489726022</v>
      </c>
    </row>
    <row r="87" spans="2:25" x14ac:dyDescent="0.2">
      <c r="D87" s="64"/>
      <c r="E87" s="64"/>
      <c r="F87" s="243"/>
      <c r="G87" s="64"/>
      <c r="H87" s="64"/>
      <c r="I87" s="64"/>
      <c r="J87" s="64"/>
      <c r="K87" s="64"/>
      <c r="L87" s="64"/>
      <c r="N87" s="64"/>
      <c r="O87" s="64"/>
      <c r="P87" s="64"/>
      <c r="Q87" s="64"/>
      <c r="R87" s="64"/>
      <c r="S87" s="64"/>
      <c r="T87" s="244"/>
      <c r="U87" s="64"/>
      <c r="V87" s="64"/>
      <c r="W87" s="64"/>
      <c r="X87" s="64"/>
      <c r="Y87" s="64"/>
    </row>
    <row r="88" spans="2:25" x14ac:dyDescent="0.2">
      <c r="B88" s="1" t="s">
        <v>326</v>
      </c>
      <c r="D88" s="64"/>
      <c r="E88" s="64">
        <f t="shared" ref="E88:L88" si="58">D86-E86</f>
        <v>2.3089999999999975</v>
      </c>
      <c r="F88" s="243">
        <f t="shared" si="58"/>
        <v>-33.414999999999999</v>
      </c>
      <c r="G88" s="64">
        <f t="shared" si="58"/>
        <v>-25.379153424657531</v>
      </c>
      <c r="H88" s="64">
        <f t="shared" si="58"/>
        <v>-40.261661472602682</v>
      </c>
      <c r="I88" s="64">
        <f t="shared" si="58"/>
        <v>31.789242043435067</v>
      </c>
      <c r="J88" s="64">
        <f t="shared" si="58"/>
        <v>-23.732718246346082</v>
      </c>
      <c r="K88" s="64">
        <f t="shared" si="58"/>
        <v>-23.420034814212315</v>
      </c>
      <c r="L88" s="64">
        <f t="shared" si="58"/>
        <v>-21.12826197046229</v>
      </c>
      <c r="N88" s="64">
        <f>E86-N86</f>
        <v>-18.788999999999987</v>
      </c>
      <c r="O88" s="64">
        <f t="shared" ref="O88:Y88" si="59">N86-O86</f>
        <v>-10.353000000000002</v>
      </c>
      <c r="P88" s="64">
        <f t="shared" si="59"/>
        <v>-6.2890000000000086</v>
      </c>
      <c r="Q88" s="64">
        <f t="shared" si="59"/>
        <v>2.0159999999999982</v>
      </c>
      <c r="R88" s="64">
        <f t="shared" si="59"/>
        <v>-43.634999999999991</v>
      </c>
      <c r="S88" s="64">
        <f t="shared" si="59"/>
        <v>5.8830000000000098</v>
      </c>
      <c r="T88" s="244">
        <f t="shared" si="59"/>
        <v>-7.1580342465753404</v>
      </c>
      <c r="U88" s="64">
        <f t="shared" si="59"/>
        <v>19.530880821917791</v>
      </c>
      <c r="V88" s="64">
        <f t="shared" si="59"/>
        <v>-32.712013698630145</v>
      </c>
      <c r="W88" s="64">
        <f t="shared" si="59"/>
        <v>-9.0122263193352836</v>
      </c>
      <c r="X88" s="64">
        <f t="shared" si="59"/>
        <v>-29.105894228609927</v>
      </c>
      <c r="Y88" s="64">
        <f t="shared" si="59"/>
        <v>30.568472773972672</v>
      </c>
    </row>
    <row r="90" spans="2:25" x14ac:dyDescent="0.2">
      <c r="E90" s="286"/>
    </row>
  </sheetData>
  <pageMargins left="0.7" right="0.7" top="0.75" bottom="0.75" header="0.3" footer="0.3"/>
  <pageSetup orientation="portrait" verticalDpi="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1"/>
  </sheetPr>
  <dimension ref="B2:AH161"/>
  <sheetViews>
    <sheetView topLeftCell="A6" zoomScale="85" zoomScaleNormal="85" workbookViewId="0">
      <selection activeCell="Y26" sqref="Y26"/>
    </sheetView>
  </sheetViews>
  <sheetFormatPr defaultRowHeight="14.25" outlineLevelRow="1" x14ac:dyDescent="0.2"/>
  <cols>
    <col min="1" max="1" width="9.140625" style="1"/>
    <col min="2" max="2" width="58.28515625" style="1" customWidth="1"/>
    <col min="3" max="3" width="1.42578125" style="1" customWidth="1"/>
    <col min="4" max="6" width="9.140625" style="1"/>
    <col min="7" max="7" width="9.140625" style="237"/>
    <col min="8" max="11" width="9.140625" style="1"/>
    <col min="12" max="12" width="10.42578125" style="1" bestFit="1" customWidth="1"/>
    <col min="13" max="13" width="9.85546875" style="1" bestFit="1" customWidth="1"/>
    <col min="14" max="14" width="1.42578125" style="1" customWidth="1"/>
    <col min="15" max="17" width="9.140625" style="1"/>
    <col min="18" max="18" width="9.140625" style="237"/>
    <col min="19" max="21" width="9.140625" style="1"/>
    <col min="22" max="22" width="9.140625" style="237"/>
    <col min="23" max="25" width="9.140625" style="1"/>
    <col min="26" max="26" width="9.140625" style="237"/>
    <col min="27" max="16384" width="9.140625" style="1"/>
  </cols>
  <sheetData>
    <row r="2" spans="2:30" s="73" customFormat="1" ht="15" x14ac:dyDescent="0.25">
      <c r="B2" s="143" t="s">
        <v>87</v>
      </c>
      <c r="D2" s="6" t="s">
        <v>88</v>
      </c>
      <c r="E2" s="6"/>
      <c r="F2" s="6"/>
      <c r="G2" s="226"/>
      <c r="H2" s="6"/>
      <c r="I2" s="6"/>
      <c r="J2" s="6"/>
      <c r="K2" s="6"/>
      <c r="L2" s="6"/>
      <c r="M2" s="6"/>
      <c r="O2" s="144">
        <v>2020</v>
      </c>
      <c r="P2" s="144"/>
      <c r="Q2" s="144"/>
      <c r="R2" s="305"/>
      <c r="S2" s="144">
        <f>O2+1</f>
        <v>2021</v>
      </c>
      <c r="T2" s="144"/>
      <c r="U2" s="144"/>
      <c r="V2" s="305"/>
      <c r="W2" s="144">
        <f>S2+1</f>
        <v>2022</v>
      </c>
      <c r="X2" s="144"/>
      <c r="Y2" s="144"/>
      <c r="Z2" s="305"/>
      <c r="AA2" s="144">
        <f>W2+1</f>
        <v>2023</v>
      </c>
      <c r="AB2" s="144"/>
      <c r="AC2" s="144"/>
      <c r="AD2" s="145"/>
    </row>
    <row r="3" spans="2:30" ht="15" x14ac:dyDescent="0.25">
      <c r="B3" s="6"/>
      <c r="D3" s="146">
        <v>2018</v>
      </c>
      <c r="E3" s="146">
        <v>2019</v>
      </c>
      <c r="F3" s="146">
        <v>2020</v>
      </c>
      <c r="G3" s="229">
        <v>2021</v>
      </c>
      <c r="H3" s="148">
        <v>2022</v>
      </c>
      <c r="I3" s="146">
        <v>2023</v>
      </c>
      <c r="J3" s="146">
        <v>2024</v>
      </c>
      <c r="K3" s="146">
        <v>2025</v>
      </c>
      <c r="L3" s="146">
        <v>2026</v>
      </c>
      <c r="M3" s="146">
        <v>2027</v>
      </c>
      <c r="O3" s="146" t="s">
        <v>77</v>
      </c>
      <c r="P3" s="146" t="s">
        <v>78</v>
      </c>
      <c r="Q3" s="146" t="s">
        <v>79</v>
      </c>
      <c r="R3" s="229" t="s">
        <v>80</v>
      </c>
      <c r="S3" s="148" t="s">
        <v>77</v>
      </c>
      <c r="T3" s="146" t="s">
        <v>78</v>
      </c>
      <c r="U3" s="146" t="s">
        <v>79</v>
      </c>
      <c r="V3" s="229" t="s">
        <v>80</v>
      </c>
      <c r="W3" s="148" t="s">
        <v>77</v>
      </c>
      <c r="X3" s="146" t="s">
        <v>78</v>
      </c>
      <c r="Y3" s="146" t="s">
        <v>79</v>
      </c>
      <c r="Z3" s="229" t="s">
        <v>80</v>
      </c>
      <c r="AA3" s="148" t="s">
        <v>77</v>
      </c>
      <c r="AB3" s="146" t="s">
        <v>78</v>
      </c>
      <c r="AC3" s="146" t="s">
        <v>79</v>
      </c>
      <c r="AD3" s="147" t="s">
        <v>80</v>
      </c>
    </row>
    <row r="4" spans="2:30" ht="15" x14ac:dyDescent="0.25">
      <c r="B4" s="6"/>
      <c r="D4" s="149">
        <v>43465</v>
      </c>
      <c r="E4" s="149">
        <f>D4+365</f>
        <v>43830</v>
      </c>
      <c r="F4" s="149">
        <f t="shared" ref="F4:M4" si="0">E4+365</f>
        <v>44195</v>
      </c>
      <c r="G4" s="232">
        <f t="shared" si="0"/>
        <v>44560</v>
      </c>
      <c r="H4" s="151">
        <f t="shared" si="0"/>
        <v>44925</v>
      </c>
      <c r="I4" s="149">
        <f t="shared" si="0"/>
        <v>45290</v>
      </c>
      <c r="J4" s="149">
        <f t="shared" si="0"/>
        <v>45655</v>
      </c>
      <c r="K4" s="149">
        <f t="shared" si="0"/>
        <v>46020</v>
      </c>
      <c r="L4" s="149">
        <f t="shared" si="0"/>
        <v>46385</v>
      </c>
      <c r="M4" s="149">
        <f t="shared" si="0"/>
        <v>46750</v>
      </c>
      <c r="O4" s="149">
        <v>43911</v>
      </c>
      <c r="P4" s="149">
        <v>44003</v>
      </c>
      <c r="Q4" s="149">
        <v>44095</v>
      </c>
      <c r="R4" s="232">
        <v>44186</v>
      </c>
      <c r="S4" s="151">
        <v>44276</v>
      </c>
      <c r="T4" s="149">
        <v>44368</v>
      </c>
      <c r="U4" s="149">
        <v>44460</v>
      </c>
      <c r="V4" s="232">
        <v>44551</v>
      </c>
      <c r="W4" s="151">
        <v>44641</v>
      </c>
      <c r="X4" s="149">
        <v>44733</v>
      </c>
      <c r="Y4" s="149">
        <v>44825</v>
      </c>
      <c r="Z4" s="232">
        <v>44916</v>
      </c>
      <c r="AA4" s="151">
        <v>45006</v>
      </c>
      <c r="AB4" s="149">
        <v>45098</v>
      </c>
      <c r="AC4" s="149">
        <v>45190</v>
      </c>
      <c r="AD4" s="150">
        <v>45281</v>
      </c>
    </row>
    <row r="5" spans="2:30" ht="15" x14ac:dyDescent="0.25">
      <c r="B5" s="6" t="s">
        <v>89</v>
      </c>
      <c r="D5" s="152" t="s">
        <v>90</v>
      </c>
      <c r="E5" s="152" t="s">
        <v>90</v>
      </c>
      <c r="F5" s="152" t="s">
        <v>90</v>
      </c>
      <c r="G5" s="235" t="s">
        <v>90</v>
      </c>
      <c r="H5" s="154" t="s">
        <v>91</v>
      </c>
      <c r="I5" s="152" t="s">
        <v>91</v>
      </c>
      <c r="J5" s="152" t="s">
        <v>91</v>
      </c>
      <c r="K5" s="152" t="s">
        <v>91</v>
      </c>
      <c r="L5" s="152" t="s">
        <v>91</v>
      </c>
      <c r="M5" s="152" t="s">
        <v>91</v>
      </c>
      <c r="O5" s="152" t="s">
        <v>90</v>
      </c>
      <c r="P5" s="152" t="s">
        <v>90</v>
      </c>
      <c r="Q5" s="152" t="s">
        <v>90</v>
      </c>
      <c r="R5" s="235" t="s">
        <v>90</v>
      </c>
      <c r="S5" s="154" t="s">
        <v>90</v>
      </c>
      <c r="T5" s="152" t="s">
        <v>90</v>
      </c>
      <c r="U5" s="152" t="s">
        <v>90</v>
      </c>
      <c r="V5" s="235" t="s">
        <v>90</v>
      </c>
      <c r="W5" s="154" t="s">
        <v>90</v>
      </c>
      <c r="X5" s="152" t="s">
        <v>90</v>
      </c>
      <c r="Y5" s="152" t="s">
        <v>91</v>
      </c>
      <c r="Z5" s="235" t="s">
        <v>91</v>
      </c>
      <c r="AA5" s="154" t="s">
        <v>91</v>
      </c>
      <c r="AB5" s="152" t="s">
        <v>91</v>
      </c>
      <c r="AC5" s="152" t="s">
        <v>91</v>
      </c>
      <c r="AD5" s="153" t="s">
        <v>91</v>
      </c>
    </row>
    <row r="6" spans="2:30" x14ac:dyDescent="0.2">
      <c r="AD6" s="155"/>
    </row>
    <row r="7" spans="2:30" x14ac:dyDescent="0.2">
      <c r="B7" s="1" t="s">
        <v>92</v>
      </c>
      <c r="AD7" s="155"/>
    </row>
    <row r="8" spans="2:30" x14ac:dyDescent="0.2">
      <c r="P8" s="87">
        <f t="shared" ref="P8:AD8" si="1">P9/O9-1</f>
        <v>6.5954835542464396E-2</v>
      </c>
      <c r="Q8" s="87">
        <f t="shared" si="1"/>
        <v>0.2111819835586155</v>
      </c>
      <c r="R8" s="334">
        <f t="shared" si="1"/>
        <v>-0.26322293623331661</v>
      </c>
      <c r="S8" s="87">
        <f t="shared" si="1"/>
        <v>0.17678631331767813</v>
      </c>
      <c r="T8" s="87">
        <f t="shared" si="1"/>
        <v>0.30957810718358036</v>
      </c>
      <c r="U8" s="87">
        <f t="shared" si="1"/>
        <v>1.9758213053815421E-3</v>
      </c>
      <c r="V8" s="334">
        <f t="shared" si="1"/>
        <v>-0.19709224598930497</v>
      </c>
      <c r="W8" s="87">
        <f t="shared" si="1"/>
        <v>0.41481080631061928</v>
      </c>
      <c r="X8" s="87">
        <f t="shared" si="1"/>
        <v>8.1116864775803155E-2</v>
      </c>
      <c r="Y8" s="87">
        <f t="shared" si="1"/>
        <v>0.22139066539665286</v>
      </c>
      <c r="Z8" s="334">
        <f t="shared" si="1"/>
        <v>-0.19709224598930497</v>
      </c>
      <c r="AA8" s="87">
        <f t="shared" si="1"/>
        <v>0.46197116652097336</v>
      </c>
      <c r="AB8" s="87">
        <f t="shared" si="1"/>
        <v>8.1116864775803155E-2</v>
      </c>
      <c r="AC8" s="87">
        <f t="shared" si="1"/>
        <v>0.22139066539665286</v>
      </c>
      <c r="AD8" s="335">
        <f t="shared" si="1"/>
        <v>-0.19709224598930497</v>
      </c>
    </row>
    <row r="9" spans="2:30" s="160" customFormat="1" ht="15" x14ac:dyDescent="0.25">
      <c r="B9" s="156" t="s">
        <v>84</v>
      </c>
      <c r="C9" s="157"/>
      <c r="D9" s="158">
        <v>103.75</v>
      </c>
      <c r="E9" s="158">
        <v>144.49600000000001</v>
      </c>
      <c r="F9" s="158">
        <v>175.518</v>
      </c>
      <c r="G9" s="370">
        <v>213.21199999999999</v>
      </c>
      <c r="H9" s="156">
        <f>SUM(W9:Z9)</f>
        <v>303.29499999999996</v>
      </c>
      <c r="I9" s="156">
        <f>SUM(AA9:AD9)</f>
        <v>470.10725000000002</v>
      </c>
      <c r="J9" s="156">
        <f>I9*(1+J10)</f>
        <v>611.13942500000007</v>
      </c>
      <c r="K9" s="156">
        <f>J9*(1+K10)</f>
        <v>763.92428125000015</v>
      </c>
      <c r="L9" s="156">
        <f>K9*(1+L10)</f>
        <v>916.70913750000011</v>
      </c>
      <c r="M9" s="156">
        <f>L9*(1+M10)</f>
        <v>1054.215508125</v>
      </c>
      <c r="N9" s="157"/>
      <c r="O9" s="158">
        <v>40.74</v>
      </c>
      <c r="P9" s="158">
        <v>43.427</v>
      </c>
      <c r="Q9" s="158">
        <v>52.597999999999999</v>
      </c>
      <c r="R9" s="269">
        <f>F9-SUM(O9:Q9)</f>
        <v>38.753000000000014</v>
      </c>
      <c r="S9" s="159">
        <f>'IS 1Q21'!B3/1000</f>
        <v>45.603999999999999</v>
      </c>
      <c r="T9" s="159">
        <f>'IS 2Q21'!B3/1000</f>
        <v>59.722000000000001</v>
      </c>
      <c r="U9" s="159">
        <f>'IS 3Q21'!B3/1000</f>
        <v>59.84</v>
      </c>
      <c r="V9" s="269">
        <f>G9-SUM(S9:U9)</f>
        <v>48.045999999999992</v>
      </c>
      <c r="W9" s="159">
        <f>'IS 1Q22'!B3/1000</f>
        <v>67.975999999999999</v>
      </c>
      <c r="X9" s="159">
        <f>'IS 2Q22'!B3/1000</f>
        <v>73.489999999999995</v>
      </c>
      <c r="Y9" s="156">
        <f t="shared" ref="Y9:AD9" si="2">U9*(1+Y10)</f>
        <v>89.76</v>
      </c>
      <c r="Z9" s="269">
        <f t="shared" si="2"/>
        <v>72.068999999999988</v>
      </c>
      <c r="AA9" s="156">
        <f t="shared" si="2"/>
        <v>105.36280000000001</v>
      </c>
      <c r="AB9" s="156">
        <f t="shared" si="2"/>
        <v>113.90949999999999</v>
      </c>
      <c r="AC9" s="156">
        <f t="shared" si="2"/>
        <v>139.12800000000001</v>
      </c>
      <c r="AD9" s="156">
        <f t="shared" si="2"/>
        <v>111.70694999999999</v>
      </c>
    </row>
    <row r="10" spans="2:30" s="38" customFormat="1" x14ac:dyDescent="0.2">
      <c r="B10" s="161" t="s">
        <v>59</v>
      </c>
      <c r="C10" s="162"/>
      <c r="D10" s="163"/>
      <c r="E10" s="164">
        <f>E9/D9-1</f>
        <v>0.39273253012048204</v>
      </c>
      <c r="F10" s="164">
        <f>F9/E9-1</f>
        <v>0.21469106411250127</v>
      </c>
      <c r="G10" s="306">
        <f>G9/F9-1</f>
        <v>0.21475860025752347</v>
      </c>
      <c r="H10" s="164">
        <f>H9/G9-1</f>
        <v>0.42250436185580531</v>
      </c>
      <c r="I10" s="164">
        <f>I9/H9-1</f>
        <v>0.55000000000000027</v>
      </c>
      <c r="J10" s="165">
        <v>0.3</v>
      </c>
      <c r="K10" s="165">
        <v>0.25</v>
      </c>
      <c r="L10" s="165">
        <v>0.2</v>
      </c>
      <c r="M10" s="165">
        <v>0.15</v>
      </c>
      <c r="N10" s="162"/>
      <c r="O10" s="164"/>
      <c r="P10" s="164"/>
      <c r="Q10" s="164"/>
      <c r="R10" s="306"/>
      <c r="S10" s="164">
        <f t="shared" ref="S10:X10" si="3">S9/O9-1</f>
        <v>0.11939126165930292</v>
      </c>
      <c r="T10" s="164">
        <f t="shared" si="3"/>
        <v>0.37522739309646069</v>
      </c>
      <c r="U10" s="164">
        <f t="shared" si="3"/>
        <v>0.13768584356819669</v>
      </c>
      <c r="V10" s="306">
        <f t="shared" si="3"/>
        <v>0.23980078961628704</v>
      </c>
      <c r="W10" s="164">
        <f t="shared" si="3"/>
        <v>0.4905710025436365</v>
      </c>
      <c r="X10" s="164">
        <f t="shared" si="3"/>
        <v>0.2305348112923209</v>
      </c>
      <c r="Y10" s="165">
        <v>0.5</v>
      </c>
      <c r="Z10" s="319">
        <v>0.5</v>
      </c>
      <c r="AA10" s="165">
        <v>0.55000000000000004</v>
      </c>
      <c r="AB10" s="165">
        <v>0.55000000000000004</v>
      </c>
      <c r="AC10" s="165">
        <v>0.55000000000000004</v>
      </c>
      <c r="AD10" s="166">
        <v>0.55000000000000004</v>
      </c>
    </row>
    <row r="11" spans="2:30" x14ac:dyDescent="0.2">
      <c r="AD11" s="155"/>
    </row>
    <row r="12" spans="2:30" x14ac:dyDescent="0.2">
      <c r="B12" s="1" t="s">
        <v>85</v>
      </c>
      <c r="D12" s="81">
        <v>75.581999999999994</v>
      </c>
      <c r="E12" s="81">
        <v>100.28400000000001</v>
      </c>
      <c r="F12" s="81">
        <v>108.97199999999999</v>
      </c>
      <c r="G12" s="291">
        <v>130.56700000000001</v>
      </c>
      <c r="H12" s="64">
        <f>SUM(W12:Z12)</f>
        <v>187.72412499999996</v>
      </c>
      <c r="I12" s="64">
        <f>SUM(AA12:AD12)</f>
        <v>293.81703125000001</v>
      </c>
      <c r="J12" s="64">
        <f>J13*J9</f>
        <v>381.96214062500007</v>
      </c>
      <c r="K12" s="64">
        <f>K13*K9</f>
        <v>479.36248648437504</v>
      </c>
      <c r="L12" s="64">
        <f>L13*L9</f>
        <v>577.52675662499996</v>
      </c>
      <c r="M12" s="64">
        <f>M13*M9</f>
        <v>666.79130888906241</v>
      </c>
      <c r="N12" s="64"/>
      <c r="O12" s="81">
        <v>26.553999999999998</v>
      </c>
      <c r="P12" s="81">
        <v>26.597999999999999</v>
      </c>
      <c r="Q12" s="81">
        <v>31.908999999999999</v>
      </c>
      <c r="R12" s="243">
        <f>F12-SUM(O12:Q12)</f>
        <v>23.910999999999987</v>
      </c>
      <c r="S12" s="168">
        <f>'IS 1Q21'!B4/1000</f>
        <v>26.83</v>
      </c>
      <c r="T12" s="168">
        <f>'IS 2Q21'!B4/1000</f>
        <v>33.542999999999999</v>
      </c>
      <c r="U12" s="168">
        <f>'IS 3Q21'!B4/1000</f>
        <v>38.070999999999998</v>
      </c>
      <c r="V12" s="243">
        <f>G12-SUM(S12:U12)</f>
        <v>32.123000000000019</v>
      </c>
      <c r="W12" s="168">
        <f>'IS 1Q22'!B4/1000</f>
        <v>41.683999999999997</v>
      </c>
      <c r="X12" s="168">
        <f>'IS 2Q22'!B4/1000</f>
        <v>44.896999999999998</v>
      </c>
      <c r="Y12" s="169">
        <f t="shared" ref="Y12:AD12" si="4">Y13*Y9</f>
        <v>56.1</v>
      </c>
      <c r="Z12" s="320">
        <f t="shared" si="4"/>
        <v>45.043124999999989</v>
      </c>
      <c r="AA12" s="169">
        <f t="shared" si="4"/>
        <v>65.85175000000001</v>
      </c>
      <c r="AB12" s="169">
        <f t="shared" si="4"/>
        <v>71.193437500000002</v>
      </c>
      <c r="AC12" s="169">
        <f t="shared" si="4"/>
        <v>86.955000000000013</v>
      </c>
      <c r="AD12" s="170">
        <f t="shared" si="4"/>
        <v>69.81684374999999</v>
      </c>
    </row>
    <row r="13" spans="2:30" s="38" customFormat="1" x14ac:dyDescent="0.2">
      <c r="B13" s="171" t="s">
        <v>60</v>
      </c>
      <c r="D13" s="172">
        <f t="shared" ref="D13:I13" si="5">IFERROR(D12/D$9,"N/A")</f>
        <v>0.72850120481927705</v>
      </c>
      <c r="E13" s="172">
        <f t="shared" si="5"/>
        <v>0.6940261322112723</v>
      </c>
      <c r="F13" s="172">
        <f t="shared" si="5"/>
        <v>0.6208593990359963</v>
      </c>
      <c r="G13" s="307">
        <f t="shared" si="5"/>
        <v>0.61238110425304404</v>
      </c>
      <c r="H13" s="172">
        <f t="shared" si="5"/>
        <v>0.61894896058293081</v>
      </c>
      <c r="I13" s="172">
        <f t="shared" si="5"/>
        <v>0.625</v>
      </c>
      <c r="J13" s="173">
        <v>0.625</v>
      </c>
      <c r="K13" s="173">
        <f>J13+0.25%</f>
        <v>0.62749999999999995</v>
      </c>
      <c r="L13" s="173">
        <f t="shared" ref="L13:M13" si="6">K13+0.25%</f>
        <v>0.62999999999999989</v>
      </c>
      <c r="M13" s="173">
        <f t="shared" si="6"/>
        <v>0.63249999999999984</v>
      </c>
      <c r="O13" s="172">
        <f t="shared" ref="O13:X13" si="7">IFERROR(O12/O$9,"N/A")</f>
        <v>0.65179185076092283</v>
      </c>
      <c r="P13" s="172">
        <f t="shared" si="7"/>
        <v>0.61247610933290353</v>
      </c>
      <c r="Q13" s="172">
        <f t="shared" si="7"/>
        <v>0.60665804783451838</v>
      </c>
      <c r="R13" s="307">
        <f t="shared" si="7"/>
        <v>0.61701029597708512</v>
      </c>
      <c r="S13" s="172">
        <f t="shared" si="7"/>
        <v>0.58832558547495828</v>
      </c>
      <c r="T13" s="172">
        <f t="shared" si="7"/>
        <v>0.56165232242724616</v>
      </c>
      <c r="U13" s="172">
        <f t="shared" si="7"/>
        <v>0.63621323529411755</v>
      </c>
      <c r="V13" s="307">
        <f t="shared" si="7"/>
        <v>0.66858843608208851</v>
      </c>
      <c r="W13" s="172">
        <f t="shared" si="7"/>
        <v>0.61321642932799814</v>
      </c>
      <c r="X13" s="172">
        <f t="shared" si="7"/>
        <v>0.61092665668798474</v>
      </c>
      <c r="Y13" s="173">
        <v>0.625</v>
      </c>
      <c r="Z13" s="321">
        <v>0.625</v>
      </c>
      <c r="AA13" s="173">
        <f>Z13</f>
        <v>0.625</v>
      </c>
      <c r="AB13" s="173">
        <f>AA13</f>
        <v>0.625</v>
      </c>
      <c r="AC13" s="173">
        <f>AB13</f>
        <v>0.625</v>
      </c>
      <c r="AD13" s="175">
        <f>AC13</f>
        <v>0.625</v>
      </c>
    </row>
    <row r="14" spans="2:30" x14ac:dyDescent="0.2">
      <c r="AD14" s="155"/>
    </row>
    <row r="15" spans="2:30" ht="15" x14ac:dyDescent="0.25">
      <c r="B15" s="176" t="s">
        <v>86</v>
      </c>
      <c r="C15" s="73"/>
      <c r="D15" s="177">
        <f t="shared" ref="D15:M15" si="8">D9-D12</f>
        <v>28.168000000000006</v>
      </c>
      <c r="E15" s="177">
        <f t="shared" si="8"/>
        <v>44.212000000000003</v>
      </c>
      <c r="F15" s="177">
        <f t="shared" si="8"/>
        <v>66.546000000000006</v>
      </c>
      <c r="G15" s="308">
        <f t="shared" si="8"/>
        <v>82.644999999999982</v>
      </c>
      <c r="H15" s="177">
        <f t="shared" si="8"/>
        <v>115.570875</v>
      </c>
      <c r="I15" s="177">
        <f t="shared" si="8"/>
        <v>176.29021875000001</v>
      </c>
      <c r="J15" s="177">
        <f t="shared" si="8"/>
        <v>229.177284375</v>
      </c>
      <c r="K15" s="177">
        <f t="shared" si="8"/>
        <v>284.56179476562511</v>
      </c>
      <c r="L15" s="177">
        <f t="shared" si="8"/>
        <v>339.18238087500015</v>
      </c>
      <c r="M15" s="177">
        <f t="shared" si="8"/>
        <v>387.42419923593764</v>
      </c>
      <c r="O15" s="177">
        <f t="shared" ref="O15:W15" si="9">O9-O12</f>
        <v>14.186000000000003</v>
      </c>
      <c r="P15" s="177">
        <f t="shared" si="9"/>
        <v>16.829000000000001</v>
      </c>
      <c r="Q15" s="177">
        <f t="shared" si="9"/>
        <v>20.689</v>
      </c>
      <c r="R15" s="308">
        <f t="shared" si="9"/>
        <v>14.842000000000027</v>
      </c>
      <c r="S15" s="177">
        <f t="shared" si="9"/>
        <v>18.774000000000001</v>
      </c>
      <c r="T15" s="177">
        <f t="shared" si="9"/>
        <v>26.179000000000002</v>
      </c>
      <c r="U15" s="177">
        <f t="shared" si="9"/>
        <v>21.769000000000005</v>
      </c>
      <c r="V15" s="308">
        <f t="shared" si="9"/>
        <v>15.922999999999973</v>
      </c>
      <c r="W15" s="177">
        <f t="shared" si="9"/>
        <v>26.292000000000002</v>
      </c>
      <c r="X15" s="177">
        <f t="shared" ref="X15:AD15" si="10">X9-X12</f>
        <v>28.592999999999996</v>
      </c>
      <c r="Y15" s="177">
        <f t="shared" si="10"/>
        <v>33.660000000000004</v>
      </c>
      <c r="Z15" s="308">
        <f t="shared" si="10"/>
        <v>27.025874999999999</v>
      </c>
      <c r="AA15" s="177">
        <f t="shared" si="10"/>
        <v>39.511049999999997</v>
      </c>
      <c r="AB15" s="177">
        <f t="shared" si="10"/>
        <v>42.716062499999992</v>
      </c>
      <c r="AC15" s="177">
        <f t="shared" si="10"/>
        <v>52.173000000000002</v>
      </c>
      <c r="AD15" s="177">
        <f t="shared" si="10"/>
        <v>41.890106250000002</v>
      </c>
    </row>
    <row r="16" spans="2:30" ht="15" x14ac:dyDescent="0.25">
      <c r="B16" s="176" t="s">
        <v>93</v>
      </c>
      <c r="C16" s="73"/>
      <c r="D16" s="178">
        <f t="shared" ref="D16:M16" si="11">D15/D$9</f>
        <v>0.27149879518072295</v>
      </c>
      <c r="E16" s="178">
        <f t="shared" si="11"/>
        <v>0.3059738677887277</v>
      </c>
      <c r="F16" s="178">
        <f t="shared" si="11"/>
        <v>0.3791406009640037</v>
      </c>
      <c r="G16" s="309">
        <f t="shared" si="11"/>
        <v>0.38761889574695602</v>
      </c>
      <c r="H16" s="178">
        <f t="shared" si="11"/>
        <v>0.38105103941706925</v>
      </c>
      <c r="I16" s="178">
        <f t="shared" si="11"/>
        <v>0.375</v>
      </c>
      <c r="J16" s="178">
        <f t="shared" si="11"/>
        <v>0.37499999999999994</v>
      </c>
      <c r="K16" s="178">
        <f t="shared" si="11"/>
        <v>0.37250000000000005</v>
      </c>
      <c r="L16" s="178">
        <f t="shared" si="11"/>
        <v>0.37000000000000011</v>
      </c>
      <c r="M16" s="178">
        <f t="shared" si="11"/>
        <v>0.3675000000000001</v>
      </c>
      <c r="O16" s="178">
        <f>O15/O$9</f>
        <v>0.34820814923907717</v>
      </c>
      <c r="P16" s="178">
        <f t="shared" ref="P16:X16" si="12">P15/P$9</f>
        <v>0.38752389066709653</v>
      </c>
      <c r="Q16" s="178">
        <f t="shared" si="12"/>
        <v>0.39334195216548157</v>
      </c>
      <c r="R16" s="309">
        <f t="shared" si="12"/>
        <v>0.38298970402291493</v>
      </c>
      <c r="S16" s="178">
        <f t="shared" si="12"/>
        <v>0.41167441452504167</v>
      </c>
      <c r="T16" s="178">
        <f t="shared" si="12"/>
        <v>0.43834767757275378</v>
      </c>
      <c r="U16" s="178">
        <f t="shared" si="12"/>
        <v>0.36378676470588245</v>
      </c>
      <c r="V16" s="309">
        <f t="shared" si="12"/>
        <v>0.33141156391791149</v>
      </c>
      <c r="W16" s="178">
        <f t="shared" si="12"/>
        <v>0.38678357067200192</v>
      </c>
      <c r="X16" s="178">
        <f t="shared" si="12"/>
        <v>0.38907334331201521</v>
      </c>
      <c r="Y16" s="178">
        <f t="shared" ref="Y16:AD16" si="13">Y15/Y$9</f>
        <v>0.375</v>
      </c>
      <c r="Z16" s="309">
        <f t="shared" si="13"/>
        <v>0.37500000000000006</v>
      </c>
      <c r="AA16" s="178">
        <f t="shared" si="13"/>
        <v>0.37499999999999994</v>
      </c>
      <c r="AB16" s="178">
        <f t="shared" si="13"/>
        <v>0.37499999999999994</v>
      </c>
      <c r="AC16" s="178">
        <f t="shared" si="13"/>
        <v>0.375</v>
      </c>
      <c r="AD16" s="178">
        <f t="shared" si="13"/>
        <v>0.37500000000000006</v>
      </c>
    </row>
    <row r="17" spans="2:30" x14ac:dyDescent="0.2">
      <c r="AD17" s="155"/>
    </row>
    <row r="18" spans="2:30" x14ac:dyDescent="0.2">
      <c r="B18" s="179" t="s">
        <v>105</v>
      </c>
      <c r="AD18" s="155"/>
    </row>
    <row r="19" spans="2:30" x14ac:dyDescent="0.2">
      <c r="B19" s="1" t="s">
        <v>94</v>
      </c>
      <c r="D19" s="81">
        <v>8.9039999999999999</v>
      </c>
      <c r="E19" s="81">
        <v>9.0649999999999995</v>
      </c>
      <c r="F19" s="81">
        <v>21.007999999999999</v>
      </c>
      <c r="G19" s="291">
        <v>37.893000000000001</v>
      </c>
      <c r="H19" s="64">
        <f>SUM(W19:Z19)</f>
        <v>55.062249999999999</v>
      </c>
      <c r="I19" s="64">
        <f>SUM(AA19:AD19)</f>
        <v>70.907857500000006</v>
      </c>
      <c r="J19" s="180">
        <f>J22*J$9</f>
        <v>90.652366187500007</v>
      </c>
      <c r="K19" s="180">
        <f>K22*K$9</f>
        <v>111.40564703125001</v>
      </c>
      <c r="L19" s="180">
        <f>L22*L$9</f>
        <v>131.39500359375</v>
      </c>
      <c r="M19" s="180">
        <f>M22*M$9</f>
        <v>148.46871536249998</v>
      </c>
      <c r="N19" s="64"/>
      <c r="O19" s="81">
        <v>2.5579999999999998</v>
      </c>
      <c r="P19" s="81">
        <v>9.3170000000000002</v>
      </c>
      <c r="Q19" s="81">
        <v>3.5150000000000001</v>
      </c>
      <c r="R19" s="243">
        <f>F19-SUM(O19:Q19)</f>
        <v>5.6179999999999986</v>
      </c>
      <c r="S19" s="81">
        <f>'IS 1Q21'!B7/1000</f>
        <v>6.8159999999999998</v>
      </c>
      <c r="T19" s="81">
        <f>'IS 2Q21'!B7/1000</f>
        <v>10.018000000000001</v>
      </c>
      <c r="U19" s="81">
        <f>'IS 3Q21'!B7/1000</f>
        <v>10.031000000000001</v>
      </c>
      <c r="V19" s="243">
        <f>G19-SUM(S19:U19)</f>
        <v>11.027999999999999</v>
      </c>
      <c r="W19" s="81">
        <f>'IS 1Q22'!B7/1000</f>
        <v>13.919</v>
      </c>
      <c r="X19" s="81">
        <f>'IS 2Q22'!B7/1000</f>
        <v>13.265000000000001</v>
      </c>
      <c r="Y19" s="169">
        <f t="shared" ref="Y19:AD19" si="14">U19*(1+Y25)</f>
        <v>13.541850000000002</v>
      </c>
      <c r="Z19" s="320">
        <f t="shared" si="14"/>
        <v>14.336399999999999</v>
      </c>
      <c r="AA19" s="169">
        <f t="shared" si="14"/>
        <v>15.310900000000002</v>
      </c>
      <c r="AB19" s="169">
        <f t="shared" si="14"/>
        <v>17.244500000000002</v>
      </c>
      <c r="AC19" s="169">
        <f t="shared" si="14"/>
        <v>18.281497500000004</v>
      </c>
      <c r="AD19" s="170">
        <f t="shared" si="14"/>
        <v>20.070959999999999</v>
      </c>
    </row>
    <row r="20" spans="2:30" x14ac:dyDescent="0.2">
      <c r="B20" s="1" t="s">
        <v>107</v>
      </c>
      <c r="D20" s="81">
        <v>8.1769999999999996</v>
      </c>
      <c r="E20" s="81">
        <v>8.2170000000000005</v>
      </c>
      <c r="F20" s="81">
        <v>8.2620000000000005</v>
      </c>
      <c r="G20" s="291">
        <v>8.52</v>
      </c>
      <c r="H20" s="64">
        <f>SUM(W20:Z20)</f>
        <v>11.943104</v>
      </c>
      <c r="I20" s="64">
        <f>SUM(AA20:AD20)</f>
        <v>12.81039825</v>
      </c>
      <c r="J20" s="180">
        <f>J106</f>
        <v>13.558644924999999</v>
      </c>
      <c r="K20" s="180">
        <f>K106</f>
        <v>14.933708631250001</v>
      </c>
      <c r="L20" s="180">
        <f>L106</f>
        <v>16.614342050000001</v>
      </c>
      <c r="M20" s="180">
        <f>M106</f>
        <v>17.455079695625003</v>
      </c>
      <c r="N20" s="64"/>
      <c r="O20" s="81">
        <v>2.0609999999999999</v>
      </c>
      <c r="P20" s="81">
        <v>2.0640000000000001</v>
      </c>
      <c r="Q20" s="81">
        <v>2.069</v>
      </c>
      <c r="R20" s="243">
        <f>F20-SUM(O20:Q20)</f>
        <v>2.0680000000000005</v>
      </c>
      <c r="S20" s="81">
        <f>'IS 1Q21'!B8/1000</f>
        <v>2.0680000000000001</v>
      </c>
      <c r="T20" s="81">
        <f>'IS 2Q21'!B8/1000</f>
        <v>2.0619999999999998</v>
      </c>
      <c r="U20" s="81">
        <f>'IS 3Q21'!B8/1000</f>
        <v>2.1749999999999998</v>
      </c>
      <c r="V20" s="243">
        <f>G20-SUM(S20:U20)</f>
        <v>2.2149999999999999</v>
      </c>
      <c r="W20" s="81">
        <f>'IS 1Q22'!B8/1000</f>
        <v>2.3660000000000001</v>
      </c>
      <c r="X20" s="81">
        <f>'IS 2Q22'!B8/1000</f>
        <v>2.3439999999999999</v>
      </c>
      <c r="Y20" s="169">
        <f t="shared" ref="Y20:AD20" si="15">Y106</f>
        <v>3.616552</v>
      </c>
      <c r="Z20" s="320">
        <f t="shared" si="15"/>
        <v>3.616552</v>
      </c>
      <c r="AA20" s="169">
        <f t="shared" si="15"/>
        <v>3.2025995625000001</v>
      </c>
      <c r="AB20" s="169">
        <f t="shared" si="15"/>
        <v>3.2025995625000001</v>
      </c>
      <c r="AC20" s="169">
        <f t="shared" si="15"/>
        <v>3.2025995625000001</v>
      </c>
      <c r="AD20" s="170">
        <f t="shared" si="15"/>
        <v>3.2025995625000001</v>
      </c>
    </row>
    <row r="21" spans="2:30" ht="15" x14ac:dyDescent="0.25">
      <c r="B21" s="181" t="s">
        <v>106</v>
      </c>
      <c r="C21" s="13"/>
      <c r="D21" s="182">
        <f t="shared" ref="D21:I21" si="16">SUM(D19:D20)</f>
        <v>17.081</v>
      </c>
      <c r="E21" s="182">
        <f t="shared" si="16"/>
        <v>17.282</v>
      </c>
      <c r="F21" s="182">
        <f t="shared" si="16"/>
        <v>29.27</v>
      </c>
      <c r="G21" s="283">
        <f t="shared" si="16"/>
        <v>46.412999999999997</v>
      </c>
      <c r="H21" s="182">
        <f t="shared" si="16"/>
        <v>67.005353999999997</v>
      </c>
      <c r="I21" s="182">
        <f t="shared" si="16"/>
        <v>83.718255750000012</v>
      </c>
      <c r="J21" s="182">
        <f>SUM(J19:J20)</f>
        <v>104.2110111125</v>
      </c>
      <c r="K21" s="182">
        <f>SUM(K19:K20)</f>
        <v>126.33935566250001</v>
      </c>
      <c r="L21" s="182">
        <f>SUM(L19:L20)</f>
        <v>148.00934564375001</v>
      </c>
      <c r="M21" s="182">
        <f>SUM(M19:M20)</f>
        <v>165.92379505812499</v>
      </c>
      <c r="N21" s="64"/>
      <c r="O21" s="183">
        <f t="shared" ref="O21:X21" si="17">SUM(O19:O20)</f>
        <v>4.6189999999999998</v>
      </c>
      <c r="P21" s="183">
        <f t="shared" si="17"/>
        <v>11.381</v>
      </c>
      <c r="Q21" s="183">
        <f t="shared" si="17"/>
        <v>5.5839999999999996</v>
      </c>
      <c r="R21" s="310">
        <f t="shared" si="17"/>
        <v>7.6859999999999991</v>
      </c>
      <c r="S21" s="183">
        <f t="shared" si="17"/>
        <v>8.8840000000000003</v>
      </c>
      <c r="T21" s="183">
        <f t="shared" si="17"/>
        <v>12.08</v>
      </c>
      <c r="U21" s="183">
        <f t="shared" si="17"/>
        <v>12.206</v>
      </c>
      <c r="V21" s="310">
        <f t="shared" si="17"/>
        <v>13.242999999999999</v>
      </c>
      <c r="W21" s="183">
        <f t="shared" si="17"/>
        <v>16.285</v>
      </c>
      <c r="X21" s="183">
        <f t="shared" si="17"/>
        <v>15.609</v>
      </c>
      <c r="Y21" s="183">
        <f t="shared" ref="Y21:AD21" si="18">SUM(Y19:Y20)</f>
        <v>17.158402000000002</v>
      </c>
      <c r="Z21" s="310">
        <f t="shared" si="18"/>
        <v>17.952952</v>
      </c>
      <c r="AA21" s="183">
        <f t="shared" si="18"/>
        <v>18.513499562500002</v>
      </c>
      <c r="AB21" s="183">
        <f t="shared" si="18"/>
        <v>20.447099562500004</v>
      </c>
      <c r="AC21" s="183">
        <f t="shared" si="18"/>
        <v>21.484097062500005</v>
      </c>
      <c r="AD21" s="183">
        <f t="shared" si="18"/>
        <v>23.273559562500001</v>
      </c>
    </row>
    <row r="22" spans="2:30" s="38" customFormat="1" x14ac:dyDescent="0.2">
      <c r="B22" s="38" t="s">
        <v>95</v>
      </c>
      <c r="D22" s="30">
        <f t="shared" ref="D22:I24" si="19">D19/D$9</f>
        <v>8.5821686746987952E-2</v>
      </c>
      <c r="E22" s="172">
        <f t="shared" si="19"/>
        <v>6.2735300631159327E-2</v>
      </c>
      <c r="F22" s="172">
        <f t="shared" si="19"/>
        <v>0.11969142765984116</v>
      </c>
      <c r="G22" s="307">
        <f t="shared" si="19"/>
        <v>0.17772451831979438</v>
      </c>
      <c r="H22" s="172">
        <f t="shared" si="19"/>
        <v>0.18154684383191286</v>
      </c>
      <c r="I22" s="172">
        <f t="shared" si="19"/>
        <v>0.15083336302513947</v>
      </c>
      <c r="J22" s="173">
        <f>I22-0.25%</f>
        <v>0.14833336302513947</v>
      </c>
      <c r="K22" s="173">
        <f t="shared" ref="K22:M22" si="20">J22-0.25%</f>
        <v>0.14583336302513947</v>
      </c>
      <c r="L22" s="173">
        <f t="shared" si="20"/>
        <v>0.14333336302513947</v>
      </c>
      <c r="M22" s="173">
        <f t="shared" si="20"/>
        <v>0.14083336302513946</v>
      </c>
      <c r="O22" s="30">
        <f>O19/O$9</f>
        <v>6.2788414334806086E-2</v>
      </c>
      <c r="P22" s="172">
        <f t="shared" ref="P22:AD22" si="21">P19/P$9</f>
        <v>0.21454394731388307</v>
      </c>
      <c r="Q22" s="172">
        <f t="shared" si="21"/>
        <v>6.682763603178829E-2</v>
      </c>
      <c r="R22" s="307">
        <f t="shared" si="21"/>
        <v>0.14496942172218916</v>
      </c>
      <c r="S22" s="172">
        <f t="shared" si="21"/>
        <v>0.14946057363389176</v>
      </c>
      <c r="T22" s="172">
        <f t="shared" si="21"/>
        <v>0.16774387997722784</v>
      </c>
      <c r="U22" s="172">
        <f t="shared" si="21"/>
        <v>0.16763034759358289</v>
      </c>
      <c r="V22" s="307">
        <f t="shared" si="21"/>
        <v>0.22953003371768724</v>
      </c>
      <c r="W22" s="172">
        <f t="shared" si="21"/>
        <v>0.20476344592209017</v>
      </c>
      <c r="X22" s="172">
        <f t="shared" si="21"/>
        <v>0.18050074840114302</v>
      </c>
      <c r="Y22" s="172">
        <f t="shared" si="21"/>
        <v>0.15086731283422461</v>
      </c>
      <c r="Z22" s="307">
        <f t="shared" si="21"/>
        <v>0.19892602922199562</v>
      </c>
      <c r="AA22" s="172">
        <f t="shared" si="21"/>
        <v>0.14531599388019301</v>
      </c>
      <c r="AB22" s="172">
        <f t="shared" si="21"/>
        <v>0.1513877244654748</v>
      </c>
      <c r="AC22" s="172">
        <f t="shared" si="21"/>
        <v>0.13140056279109885</v>
      </c>
      <c r="AD22" s="174">
        <f t="shared" si="21"/>
        <v>0.1796751231682541</v>
      </c>
    </row>
    <row r="23" spans="2:30" s="38" customFormat="1" x14ac:dyDescent="0.2">
      <c r="B23" s="38" t="s">
        <v>96</v>
      </c>
      <c r="D23" s="30">
        <f t="shared" si="19"/>
        <v>7.8814457831325291E-2</v>
      </c>
      <c r="E23" s="172">
        <f t="shared" si="19"/>
        <v>5.6866626065773446E-2</v>
      </c>
      <c r="F23" s="172">
        <f t="shared" si="19"/>
        <v>4.7072095169726186E-2</v>
      </c>
      <c r="G23" s="307">
        <f t="shared" si="19"/>
        <v>3.9960227379321991E-2</v>
      </c>
      <c r="H23" s="172">
        <f t="shared" si="19"/>
        <v>3.9377846650950399E-2</v>
      </c>
      <c r="I23" s="172">
        <f t="shared" si="19"/>
        <v>2.7249948283077956E-2</v>
      </c>
      <c r="J23" s="172">
        <f t="shared" ref="J23:M24" si="22">J20/J$9</f>
        <v>2.2185845603071668E-2</v>
      </c>
      <c r="K23" s="172">
        <f t="shared" si="22"/>
        <v>1.9548676482457335E-2</v>
      </c>
      <c r="L23" s="172">
        <f t="shared" si="22"/>
        <v>1.8123897068714447E-2</v>
      </c>
      <c r="M23" s="172">
        <f t="shared" si="22"/>
        <v>1.6557411232424525E-2</v>
      </c>
      <c r="O23" s="30">
        <f>O20/O$9</f>
        <v>5.0589101620029449E-2</v>
      </c>
      <c r="P23" s="172">
        <f t="shared" ref="P23:X23" si="23">P20/P$9</f>
        <v>4.7528035553918074E-2</v>
      </c>
      <c r="Q23" s="172">
        <f t="shared" si="23"/>
        <v>3.9336096429522037E-2</v>
      </c>
      <c r="R23" s="307">
        <f t="shared" si="23"/>
        <v>5.3363610559182512E-2</v>
      </c>
      <c r="S23" s="172">
        <f t="shared" si="23"/>
        <v>4.5346899394789933E-2</v>
      </c>
      <c r="T23" s="172">
        <f t="shared" si="23"/>
        <v>3.4526640099125948E-2</v>
      </c>
      <c r="U23" s="172">
        <f t="shared" si="23"/>
        <v>3.6346925133689832E-2</v>
      </c>
      <c r="V23" s="307">
        <f t="shared" si="23"/>
        <v>4.6101652582941355E-2</v>
      </c>
      <c r="W23" s="172">
        <f t="shared" si="23"/>
        <v>3.4806402259621047E-2</v>
      </c>
      <c r="X23" s="172">
        <f t="shared" si="23"/>
        <v>3.1895495985848413E-2</v>
      </c>
      <c r="Y23" s="172">
        <f>Y20/Y$9</f>
        <v>4.0291354723707665E-2</v>
      </c>
      <c r="Z23" s="307">
        <f t="shared" ref="Y23:AD23" si="24">Z20/Z$9</f>
        <v>5.0181797999139723E-2</v>
      </c>
      <c r="AA23" s="172">
        <f t="shared" si="24"/>
        <v>3.0395923062978582E-2</v>
      </c>
      <c r="AB23" s="172">
        <f t="shared" si="24"/>
        <v>2.8115298219200332E-2</v>
      </c>
      <c r="AC23" s="172">
        <f t="shared" si="24"/>
        <v>2.3019087189494563E-2</v>
      </c>
      <c r="AD23" s="174">
        <f t="shared" si="24"/>
        <v>2.8669653611525518E-2</v>
      </c>
    </row>
    <row r="24" spans="2:30" s="38" customFormat="1" x14ac:dyDescent="0.2">
      <c r="B24" s="38" t="s">
        <v>97</v>
      </c>
      <c r="D24" s="30">
        <f t="shared" si="19"/>
        <v>0.16463614457831324</v>
      </c>
      <c r="E24" s="172">
        <f t="shared" si="19"/>
        <v>0.11960192669693277</v>
      </c>
      <c r="F24" s="172">
        <f t="shared" si="19"/>
        <v>0.16676352282956733</v>
      </c>
      <c r="G24" s="307">
        <f t="shared" si="19"/>
        <v>0.21768474569911636</v>
      </c>
      <c r="H24" s="172">
        <f t="shared" si="19"/>
        <v>0.22092469048286323</v>
      </c>
      <c r="I24" s="172">
        <f t="shared" si="19"/>
        <v>0.17808331130821745</v>
      </c>
      <c r="J24" s="172">
        <f t="shared" si="22"/>
        <v>0.17051920862821113</v>
      </c>
      <c r="K24" s="172">
        <f t="shared" si="22"/>
        <v>0.16538203950759681</v>
      </c>
      <c r="L24" s="172">
        <f t="shared" si="22"/>
        <v>0.16145726009385392</v>
      </c>
      <c r="M24" s="172">
        <f t="shared" si="22"/>
        <v>0.15739077425756398</v>
      </c>
      <c r="O24" s="30">
        <f>O21/O$9</f>
        <v>0.11337751595483553</v>
      </c>
      <c r="P24" s="172">
        <f t="shared" ref="P24:X24" si="25">P21/P$9</f>
        <v>0.26207198286780115</v>
      </c>
      <c r="Q24" s="172">
        <f t="shared" si="25"/>
        <v>0.10616373246131031</v>
      </c>
      <c r="R24" s="307">
        <f t="shared" si="25"/>
        <v>0.19833303228137167</v>
      </c>
      <c r="S24" s="172">
        <f t="shared" si="25"/>
        <v>0.1948074730286817</v>
      </c>
      <c r="T24" s="172">
        <f t="shared" si="25"/>
        <v>0.20227052007635377</v>
      </c>
      <c r="U24" s="172">
        <f t="shared" si="25"/>
        <v>0.2039772727272727</v>
      </c>
      <c r="V24" s="307">
        <f t="shared" si="25"/>
        <v>0.27563168630062856</v>
      </c>
      <c r="W24" s="172">
        <f t="shared" si="25"/>
        <v>0.2395698481817112</v>
      </c>
      <c r="X24" s="172">
        <f t="shared" si="25"/>
        <v>0.21239624438699145</v>
      </c>
      <c r="Y24" s="172">
        <f t="shared" ref="Y24:AD24" si="26">Y21/Y$9</f>
        <v>0.19115866755793229</v>
      </c>
      <c r="Z24" s="307">
        <f t="shared" si="26"/>
        <v>0.24910782722113534</v>
      </c>
      <c r="AA24" s="172">
        <f t="shared" si="26"/>
        <v>0.17571191694317159</v>
      </c>
      <c r="AB24" s="172">
        <f t="shared" si="26"/>
        <v>0.17950302268467516</v>
      </c>
      <c r="AC24" s="172">
        <f t="shared" si="26"/>
        <v>0.15441964998059343</v>
      </c>
      <c r="AD24" s="174">
        <f t="shared" si="26"/>
        <v>0.20834477677977961</v>
      </c>
    </row>
    <row r="25" spans="2:30" s="38" customFormat="1" x14ac:dyDescent="0.2">
      <c r="B25" s="38" t="s">
        <v>98</v>
      </c>
      <c r="D25" s="1"/>
      <c r="E25" s="172">
        <f t="shared" ref="E25:M25" si="27">E19/D19-1</f>
        <v>1.8081761006289332E-2</v>
      </c>
      <c r="F25" s="172">
        <f t="shared" si="27"/>
        <v>1.3174848317705461</v>
      </c>
      <c r="G25" s="307">
        <f t="shared" si="27"/>
        <v>0.8037414318354914</v>
      </c>
      <c r="H25" s="172">
        <f t="shared" si="27"/>
        <v>0.45309819755627689</v>
      </c>
      <c r="I25" s="172">
        <f t="shared" si="27"/>
        <v>0.28777624416001912</v>
      </c>
      <c r="J25" s="172">
        <f t="shared" si="27"/>
        <v>0.27845304291558937</v>
      </c>
      <c r="K25" s="172">
        <f t="shared" si="27"/>
        <v>0.22893258848671572</v>
      </c>
      <c r="L25" s="172">
        <f t="shared" si="27"/>
        <v>0.17942857561693293</v>
      </c>
      <c r="M25" s="172">
        <f t="shared" si="27"/>
        <v>0.12994186462020174</v>
      </c>
      <c r="O25" s="1"/>
      <c r="P25" s="172"/>
      <c r="Q25" s="172"/>
      <c r="R25" s="307"/>
      <c r="S25" s="172">
        <f t="shared" ref="S25:X25" si="28">S19/O19-1</f>
        <v>1.6645817044566069</v>
      </c>
      <c r="T25" s="172">
        <f t="shared" si="28"/>
        <v>7.5238810776000919E-2</v>
      </c>
      <c r="U25" s="172">
        <f t="shared" si="28"/>
        <v>1.8537695590327168</v>
      </c>
      <c r="V25" s="307">
        <f t="shared" si="28"/>
        <v>0.96297614809540799</v>
      </c>
      <c r="W25" s="172">
        <f t="shared" si="28"/>
        <v>1.042106807511737</v>
      </c>
      <c r="X25" s="172">
        <f t="shared" si="28"/>
        <v>0.32411659013775207</v>
      </c>
      <c r="Y25" s="173">
        <v>0.35</v>
      </c>
      <c r="Z25" s="321">
        <v>0.3</v>
      </c>
      <c r="AA25" s="173">
        <v>0.1</v>
      </c>
      <c r="AB25" s="173">
        <v>0.3</v>
      </c>
      <c r="AC25" s="173">
        <v>0.35</v>
      </c>
      <c r="AD25" s="175">
        <v>0.4</v>
      </c>
    </row>
    <row r="26" spans="2:30" x14ac:dyDescent="0.2">
      <c r="AD26" s="155"/>
    </row>
    <row r="27" spans="2:30" ht="15" x14ac:dyDescent="0.25">
      <c r="B27" s="73" t="s">
        <v>34</v>
      </c>
      <c r="C27" s="73"/>
      <c r="D27" s="184">
        <f>D15-D21</f>
        <v>11.087000000000007</v>
      </c>
      <c r="E27" s="184">
        <f>E15-E21</f>
        <v>26.930000000000003</v>
      </c>
      <c r="F27" s="184">
        <f>F15-F21</f>
        <v>37.27600000000001</v>
      </c>
      <c r="G27" s="311">
        <f t="shared" ref="G27:M27" si="29">G15-G21</f>
        <v>36.231999999999985</v>
      </c>
      <c r="H27" s="184">
        <f t="shared" si="29"/>
        <v>48.565521000000004</v>
      </c>
      <c r="I27" s="184">
        <f t="shared" si="29"/>
        <v>92.571962999999997</v>
      </c>
      <c r="J27" s="184">
        <f t="shared" si="29"/>
        <v>124.9662732625</v>
      </c>
      <c r="K27" s="184">
        <f t="shared" si="29"/>
        <v>158.22243910312511</v>
      </c>
      <c r="L27" s="184">
        <f t="shared" si="29"/>
        <v>191.17303523125014</v>
      </c>
      <c r="M27" s="184">
        <f t="shared" si="29"/>
        <v>221.50040417781264</v>
      </c>
      <c r="N27" s="64"/>
      <c r="O27" s="184">
        <f t="shared" ref="O27:X27" si="30">O15-O21</f>
        <v>9.5670000000000037</v>
      </c>
      <c r="P27" s="184">
        <f t="shared" si="30"/>
        <v>5.4480000000000004</v>
      </c>
      <c r="Q27" s="184">
        <f t="shared" si="30"/>
        <v>15.105</v>
      </c>
      <c r="R27" s="311">
        <f t="shared" si="30"/>
        <v>7.1560000000000281</v>
      </c>
      <c r="S27" s="184">
        <f t="shared" si="30"/>
        <v>9.89</v>
      </c>
      <c r="T27" s="184">
        <f t="shared" si="30"/>
        <v>14.099000000000002</v>
      </c>
      <c r="U27" s="184">
        <f t="shared" si="30"/>
        <v>9.5630000000000059</v>
      </c>
      <c r="V27" s="311">
        <f t="shared" si="30"/>
        <v>2.6799999999999748</v>
      </c>
      <c r="W27" s="184">
        <f t="shared" si="30"/>
        <v>10.007000000000001</v>
      </c>
      <c r="X27" s="184">
        <f t="shared" si="30"/>
        <v>12.983999999999996</v>
      </c>
      <c r="Y27" s="184">
        <f t="shared" ref="Y27:AD27" si="31">Y15-Y21</f>
        <v>16.501598000000001</v>
      </c>
      <c r="Z27" s="311">
        <f t="shared" si="31"/>
        <v>9.0729229999999994</v>
      </c>
      <c r="AA27" s="184">
        <f t="shared" si="31"/>
        <v>20.997550437499996</v>
      </c>
      <c r="AB27" s="184">
        <f t="shared" si="31"/>
        <v>22.268962937499989</v>
      </c>
      <c r="AC27" s="184">
        <f t="shared" si="31"/>
        <v>30.688902937499996</v>
      </c>
      <c r="AD27" s="184">
        <f t="shared" si="31"/>
        <v>18.616546687500001</v>
      </c>
    </row>
    <row r="28" spans="2:30" x14ac:dyDescent="0.2">
      <c r="B28" s="1" t="s">
        <v>109</v>
      </c>
      <c r="D28" s="185">
        <v>-2.44</v>
      </c>
      <c r="E28" s="185">
        <v>-1.7869999999999999</v>
      </c>
      <c r="F28" s="185">
        <v>-3.51</v>
      </c>
      <c r="G28" s="371">
        <v>-14.548999999999999</v>
      </c>
      <c r="H28" s="64">
        <f ca="1">SUM(W28:Z28)</f>
        <v>-17.491515853524284</v>
      </c>
      <c r="I28" s="64">
        <f ca="1">SUM(AA28:AD28)</f>
        <v>-19.048398439742293</v>
      </c>
      <c r="J28" s="180">
        <f ca="1">-J152</f>
        <v>-14.073042173373151</v>
      </c>
      <c r="K28" s="180">
        <f ca="1">-K152</f>
        <v>-11.892749999999999</v>
      </c>
      <c r="L28" s="180">
        <f ca="1">-L152</f>
        <v>-11.794625</v>
      </c>
      <c r="M28" s="180">
        <f ca="1">-M152</f>
        <v>-11.932000000000002</v>
      </c>
      <c r="N28" s="64"/>
      <c r="O28" s="81">
        <v>-0.27200000000000002</v>
      </c>
      <c r="P28" s="81">
        <v>-0.22500000000000001</v>
      </c>
      <c r="Q28" s="81">
        <v>-0.104</v>
      </c>
      <c r="R28" s="243">
        <v>-0.104</v>
      </c>
      <c r="S28" s="81">
        <f>'IS 1Q21'!B11/1000</f>
        <v>-3.7090000000000001</v>
      </c>
      <c r="T28" s="81">
        <f>'IS 2Q21'!B11/1000</f>
        <v>-3.62</v>
      </c>
      <c r="U28" s="81">
        <f>'IS 3Q21'!B11/1000</f>
        <v>-3.5819999999999999</v>
      </c>
      <c r="V28" s="243">
        <f>G28-SUM(S28:U28)</f>
        <v>-3.6379999999999981</v>
      </c>
      <c r="W28" s="81">
        <f>'IS 1Q22'!B11/1000</f>
        <v>-3.8359999999999999</v>
      </c>
      <c r="X28" s="186">
        <f>'IS 2Q22'!B11/1000</f>
        <v>-4.17</v>
      </c>
      <c r="Y28" s="180">
        <f t="shared" ref="Y28:AD28" ca="1" si="32">-Y152</f>
        <v>-4.8239086903957471</v>
      </c>
      <c r="Z28" s="322">
        <f t="shared" ca="1" si="32"/>
        <v>-4.6616071631285356</v>
      </c>
      <c r="AA28" s="180">
        <f t="shared" ca="1" si="32"/>
        <v>-4.6812746305266995</v>
      </c>
      <c r="AB28" s="180">
        <f t="shared" ca="1" si="32"/>
        <v>-4.8416635794103478</v>
      </c>
      <c r="AC28" s="180">
        <f t="shared" ca="1" si="32"/>
        <v>-4.8939649390519904</v>
      </c>
      <c r="AD28" s="187">
        <f t="shared" ca="1" si="32"/>
        <v>-4.6314952907532572</v>
      </c>
    </row>
    <row r="29" spans="2:30" x14ac:dyDescent="0.2">
      <c r="B29" s="1" t="s">
        <v>123</v>
      </c>
      <c r="D29" s="81">
        <v>0</v>
      </c>
      <c r="E29" s="81">
        <v>0</v>
      </c>
      <c r="F29" s="81">
        <v>0</v>
      </c>
      <c r="G29" s="371">
        <v>-1.663</v>
      </c>
      <c r="H29" s="81">
        <f>SUM(W29:Z29)</f>
        <v>0</v>
      </c>
      <c r="I29" s="81">
        <f>SUM(AA29:AD29)</f>
        <v>0</v>
      </c>
      <c r="J29" s="81">
        <v>0</v>
      </c>
      <c r="K29" s="81">
        <v>0</v>
      </c>
      <c r="L29" s="81">
        <v>0</v>
      </c>
      <c r="M29" s="81">
        <v>0</v>
      </c>
      <c r="N29" s="64"/>
      <c r="O29" s="81">
        <v>0</v>
      </c>
      <c r="P29" s="81">
        <v>0</v>
      </c>
      <c r="Q29" s="81">
        <v>0</v>
      </c>
      <c r="R29" s="291">
        <v>0</v>
      </c>
      <c r="S29" s="81">
        <v>0</v>
      </c>
      <c r="T29" s="64">
        <f>'IS 2Q21'!B12/1000</f>
        <v>-1.6639999999999999</v>
      </c>
      <c r="U29" s="64">
        <f>'IS 3Q21'!B12/1000</f>
        <v>-2.0139999999999998</v>
      </c>
      <c r="V29" s="243">
        <f>G29-SUM(S29:U29)</f>
        <v>2.0149999999999997</v>
      </c>
      <c r="W29" s="64">
        <v>0</v>
      </c>
      <c r="X29" s="81">
        <v>0</v>
      </c>
      <c r="Y29" s="81">
        <v>0</v>
      </c>
      <c r="Z29" s="291">
        <v>0</v>
      </c>
      <c r="AA29" s="81">
        <v>0</v>
      </c>
      <c r="AB29" s="81">
        <v>0</v>
      </c>
      <c r="AC29" s="81">
        <v>0</v>
      </c>
      <c r="AD29" s="81">
        <v>0</v>
      </c>
    </row>
    <row r="30" spans="2:30" x14ac:dyDescent="0.2">
      <c r="B30" s="1" t="s">
        <v>127</v>
      </c>
      <c r="D30" s="81">
        <v>0</v>
      </c>
      <c r="E30" s="81">
        <v>0</v>
      </c>
      <c r="F30" s="81">
        <v>0</v>
      </c>
      <c r="G30" s="371">
        <v>-15.99</v>
      </c>
      <c r="H30" s="81">
        <f>SUM(W30:Z30)</f>
        <v>0</v>
      </c>
      <c r="I30" s="81">
        <f>SUM(AA30:AD30)</f>
        <v>0</v>
      </c>
      <c r="J30" s="81">
        <v>0</v>
      </c>
      <c r="K30" s="81">
        <v>0</v>
      </c>
      <c r="L30" s="81">
        <v>0</v>
      </c>
      <c r="M30" s="81">
        <v>0</v>
      </c>
      <c r="N30" s="64"/>
      <c r="O30" s="81">
        <v>0</v>
      </c>
      <c r="P30" s="81">
        <v>0</v>
      </c>
      <c r="Q30" s="81">
        <v>0</v>
      </c>
      <c r="R30" s="291">
        <v>0</v>
      </c>
      <c r="S30" s="64">
        <f>'IS 1Q21'!B12/1000</f>
        <v>-15.99</v>
      </c>
      <c r="T30" s="64">
        <v>0</v>
      </c>
      <c r="U30" s="64">
        <v>0</v>
      </c>
      <c r="V30" s="243">
        <f>G30-SUM(S30:U30)</f>
        <v>0</v>
      </c>
      <c r="W30" s="64">
        <v>0</v>
      </c>
      <c r="X30" s="81">
        <v>0</v>
      </c>
      <c r="Y30" s="81">
        <v>0</v>
      </c>
      <c r="Z30" s="291">
        <v>0</v>
      </c>
      <c r="AA30" s="81">
        <v>0</v>
      </c>
      <c r="AB30" s="81">
        <v>0</v>
      </c>
      <c r="AC30" s="81">
        <v>0</v>
      </c>
      <c r="AD30" s="81">
        <v>0</v>
      </c>
    </row>
    <row r="31" spans="2:30" x14ac:dyDescent="0.2">
      <c r="B31" s="13" t="s">
        <v>110</v>
      </c>
      <c r="C31" s="13"/>
      <c r="D31" s="183">
        <f t="shared" ref="D31:M31" si="33">SUM(D27:D30)</f>
        <v>8.6470000000000073</v>
      </c>
      <c r="E31" s="183">
        <f t="shared" si="33"/>
        <v>25.143000000000004</v>
      </c>
      <c r="F31" s="183">
        <f t="shared" si="33"/>
        <v>33.766000000000012</v>
      </c>
      <c r="G31" s="310">
        <f t="shared" si="33"/>
        <v>4.0299999999999851</v>
      </c>
      <c r="H31" s="183">
        <f t="shared" ca="1" si="33"/>
        <v>31.07400514647572</v>
      </c>
      <c r="I31" s="183">
        <f t="shared" ca="1" si="33"/>
        <v>73.523564560257711</v>
      </c>
      <c r="J31" s="183">
        <f t="shared" ca="1" si="33"/>
        <v>110.89323108912684</v>
      </c>
      <c r="K31" s="183">
        <f t="shared" ca="1" si="33"/>
        <v>146.32968910312511</v>
      </c>
      <c r="L31" s="183">
        <f t="shared" ca="1" si="33"/>
        <v>179.37841023125014</v>
      </c>
      <c r="M31" s="183">
        <f t="shared" ca="1" si="33"/>
        <v>209.56840417781262</v>
      </c>
      <c r="N31" s="64"/>
      <c r="O31" s="183">
        <f t="shared" ref="O31:X31" si="34">SUM(O27:O30)</f>
        <v>9.2950000000000035</v>
      </c>
      <c r="P31" s="183">
        <f t="shared" si="34"/>
        <v>5.2230000000000008</v>
      </c>
      <c r="Q31" s="183">
        <f t="shared" si="34"/>
        <v>15.001000000000001</v>
      </c>
      <c r="R31" s="310">
        <f t="shared" si="34"/>
        <v>7.052000000000028</v>
      </c>
      <c r="S31" s="183">
        <f t="shared" si="34"/>
        <v>-9.8089999999999993</v>
      </c>
      <c r="T31" s="183">
        <f t="shared" si="34"/>
        <v>8.8150000000000031</v>
      </c>
      <c r="U31" s="183">
        <f t="shared" si="34"/>
        <v>3.9670000000000063</v>
      </c>
      <c r="V31" s="310">
        <f t="shared" si="34"/>
        <v>1.0569999999999764</v>
      </c>
      <c r="W31" s="183">
        <f t="shared" si="34"/>
        <v>6.1710000000000012</v>
      </c>
      <c r="X31" s="183">
        <f t="shared" si="34"/>
        <v>8.8139999999999965</v>
      </c>
      <c r="Y31" s="183">
        <f t="shared" ref="Y31:AD31" ca="1" si="35">SUM(Y27:Y30)</f>
        <v>11.677689309604254</v>
      </c>
      <c r="Z31" s="310">
        <f t="shared" ca="1" si="35"/>
        <v>4.4113158368714638</v>
      </c>
      <c r="AA31" s="183">
        <f t="shared" ca="1" si="35"/>
        <v>16.316275806973294</v>
      </c>
      <c r="AB31" s="183">
        <f t="shared" ca="1" si="35"/>
        <v>17.427299358089641</v>
      </c>
      <c r="AC31" s="183">
        <f t="shared" ca="1" si="35"/>
        <v>25.794937998448006</v>
      </c>
      <c r="AD31" s="183">
        <f t="shared" ca="1" si="35"/>
        <v>13.985051396746744</v>
      </c>
    </row>
    <row r="32" spans="2:30" x14ac:dyDescent="0.2">
      <c r="AD32" s="155"/>
    </row>
    <row r="33" spans="2:30" x14ac:dyDescent="0.2">
      <c r="B33" s="1" t="s">
        <v>111</v>
      </c>
      <c r="D33" s="81">
        <v>0</v>
      </c>
      <c r="E33" s="81">
        <v>0</v>
      </c>
      <c r="F33" s="81">
        <v>0</v>
      </c>
      <c r="G33" s="291">
        <v>-8.5999999999999993E-2</v>
      </c>
      <c r="H33" s="81">
        <f ca="1">SUM(W33:Z33)</f>
        <v>-6.4116910807599004</v>
      </c>
      <c r="I33" s="81">
        <f ca="1">SUM(AA33:AD33)</f>
        <v>-15.439948557654114</v>
      </c>
      <c r="J33" s="64">
        <f ca="1">J36*J31</f>
        <v>-23.287578528716629</v>
      </c>
      <c r="K33" s="64">
        <f ca="1">K36*K31</f>
        <v>-30.729234711656265</v>
      </c>
      <c r="L33" s="64">
        <f ca="1">L36*L31</f>
        <v>-37.66946614856252</v>
      </c>
      <c r="M33" s="64">
        <f ca="1">M36*M31</f>
        <v>-44.009364877340637</v>
      </c>
      <c r="N33" s="64"/>
      <c r="O33" s="81">
        <v>0</v>
      </c>
      <c r="P33" s="81">
        <v>0</v>
      </c>
      <c r="Q33" s="81">
        <v>0</v>
      </c>
      <c r="R33" s="243">
        <v>0</v>
      </c>
      <c r="S33" s="64">
        <f>'IS 1Q21'!B14/1000</f>
        <v>1.4750000000000001</v>
      </c>
      <c r="T33" s="64">
        <f>'IS 2Q21'!B15/1000</f>
        <v>0.33900000000000002</v>
      </c>
      <c r="U33" s="81">
        <f>'IS 3Q21'!B15/1000</f>
        <v>1.3089999999999999</v>
      </c>
      <c r="V33" s="243">
        <f>G33-SUM(S33:U33)</f>
        <v>-3.2090000000000001</v>
      </c>
      <c r="W33" s="81">
        <f>'IS 1Q22'!B14/1000</f>
        <v>-1.522</v>
      </c>
      <c r="X33" s="81">
        <f>'IS 2Q22'!B15/1000</f>
        <v>-1.5109999999999999</v>
      </c>
      <c r="Y33" s="64">
        <f t="shared" ref="Y33:AD33" ca="1" si="36">Y36*Y31</f>
        <v>-2.4523147550168933</v>
      </c>
      <c r="Z33" s="243">
        <f t="shared" ca="1" si="36"/>
        <v>-0.92637632574300732</v>
      </c>
      <c r="AA33" s="64">
        <f t="shared" ca="1" si="36"/>
        <v>-3.4264179194643916</v>
      </c>
      <c r="AB33" s="64">
        <f t="shared" ca="1" si="36"/>
        <v>-3.6597328651988246</v>
      </c>
      <c r="AC33" s="64">
        <f t="shared" ca="1" si="36"/>
        <v>-5.4169369796740812</v>
      </c>
      <c r="AD33" s="167">
        <f t="shared" ca="1" si="36"/>
        <v>-2.936860793316816</v>
      </c>
    </row>
    <row r="34" spans="2:30" x14ac:dyDescent="0.2">
      <c r="B34" s="13" t="s">
        <v>112</v>
      </c>
      <c r="C34" s="13"/>
      <c r="D34" s="183">
        <f t="shared" ref="D34:M34" si="37">D31+D33</f>
        <v>8.6470000000000073</v>
      </c>
      <c r="E34" s="183">
        <f t="shared" si="37"/>
        <v>25.143000000000004</v>
      </c>
      <c r="F34" s="183">
        <f t="shared" si="37"/>
        <v>33.766000000000012</v>
      </c>
      <c r="G34" s="310">
        <f t="shared" si="37"/>
        <v>3.9439999999999853</v>
      </c>
      <c r="H34" s="183">
        <f t="shared" ca="1" si="37"/>
        <v>24.662314065715819</v>
      </c>
      <c r="I34" s="183">
        <f t="shared" ca="1" si="37"/>
        <v>58.083616002603598</v>
      </c>
      <c r="J34" s="183">
        <f t="shared" ca="1" si="37"/>
        <v>87.605652560410221</v>
      </c>
      <c r="K34" s="183">
        <f t="shared" ca="1" si="37"/>
        <v>115.60045439146884</v>
      </c>
      <c r="L34" s="183">
        <f t="shared" ca="1" si="37"/>
        <v>141.70894408268762</v>
      </c>
      <c r="M34" s="183">
        <f t="shared" ca="1" si="37"/>
        <v>165.55903930047199</v>
      </c>
      <c r="N34" s="64"/>
      <c r="O34" s="183">
        <f t="shared" ref="O34:X34" si="38">O31+O33</f>
        <v>9.2950000000000035</v>
      </c>
      <c r="P34" s="183">
        <f t="shared" si="38"/>
        <v>5.2230000000000008</v>
      </c>
      <c r="Q34" s="183">
        <f t="shared" si="38"/>
        <v>15.001000000000001</v>
      </c>
      <c r="R34" s="310">
        <f t="shared" si="38"/>
        <v>7.052000000000028</v>
      </c>
      <c r="S34" s="183">
        <f t="shared" si="38"/>
        <v>-8.3339999999999996</v>
      </c>
      <c r="T34" s="183">
        <f t="shared" si="38"/>
        <v>9.1540000000000035</v>
      </c>
      <c r="U34" s="183">
        <f t="shared" si="38"/>
        <v>5.276000000000006</v>
      </c>
      <c r="V34" s="310">
        <f t="shared" si="38"/>
        <v>-2.1520000000000237</v>
      </c>
      <c r="W34" s="183">
        <f t="shared" si="38"/>
        <v>4.6490000000000009</v>
      </c>
      <c r="X34" s="183">
        <f t="shared" si="38"/>
        <v>7.3029999999999964</v>
      </c>
      <c r="Y34" s="183">
        <f t="shared" ref="Y34:AD34" ca="1" si="39">Y31+Y33</f>
        <v>9.2253745545873613</v>
      </c>
      <c r="Z34" s="310">
        <f t="shared" ca="1" si="39"/>
        <v>3.4849395111284567</v>
      </c>
      <c r="AA34" s="183">
        <f t="shared" ca="1" si="39"/>
        <v>12.889857887508903</v>
      </c>
      <c r="AB34" s="183">
        <f t="shared" ca="1" si="39"/>
        <v>13.767566492890817</v>
      </c>
      <c r="AC34" s="183">
        <f t="shared" ca="1" si="39"/>
        <v>20.378001018773926</v>
      </c>
      <c r="AD34" s="183">
        <f t="shared" ca="1" si="39"/>
        <v>11.048190603429928</v>
      </c>
    </row>
    <row r="35" spans="2:30" x14ac:dyDescent="0.2">
      <c r="D35" s="64"/>
      <c r="E35" s="64"/>
      <c r="F35" s="64"/>
      <c r="G35" s="243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243"/>
      <c r="S35" s="64"/>
      <c r="T35" s="64"/>
      <c r="U35" s="64"/>
      <c r="V35" s="243"/>
      <c r="W35" s="64"/>
      <c r="X35" s="87"/>
      <c r="AD35" s="155"/>
    </row>
    <row r="36" spans="2:30" x14ac:dyDescent="0.2">
      <c r="B36" s="1" t="s">
        <v>48</v>
      </c>
      <c r="D36" s="64"/>
      <c r="E36" s="64"/>
      <c r="F36" s="64"/>
      <c r="G36" s="334">
        <f>G33/G31</f>
        <v>-2.1339950372208514E-2</v>
      </c>
      <c r="H36" s="87">
        <f ca="1">H33/H31</f>
        <v>-0.20633616588967729</v>
      </c>
      <c r="I36" s="87">
        <f ca="1">I33/I31</f>
        <v>-0.20999999999999994</v>
      </c>
      <c r="J36" s="189">
        <f ca="1">I36</f>
        <v>-0.20999999999999994</v>
      </c>
      <c r="K36" s="189">
        <f ca="1">J36</f>
        <v>-0.20999999999999994</v>
      </c>
      <c r="L36" s="189">
        <f ca="1">K36</f>
        <v>-0.20999999999999994</v>
      </c>
      <c r="M36" s="189">
        <f ca="1">L36</f>
        <v>-0.20999999999999994</v>
      </c>
      <c r="N36" s="64"/>
      <c r="O36" s="190"/>
      <c r="P36" s="190"/>
      <c r="Q36" s="190"/>
      <c r="R36" s="312"/>
      <c r="S36" s="190"/>
      <c r="T36" s="190"/>
      <c r="U36" s="190"/>
      <c r="V36" s="312"/>
      <c r="W36" s="87">
        <f>W33/W31</f>
        <v>-0.24663749797439632</v>
      </c>
      <c r="X36" s="87">
        <f>X33/X31</f>
        <v>-0.17143181302473343</v>
      </c>
      <c r="Y36" s="191">
        <v>-0.21</v>
      </c>
      <c r="Z36" s="323">
        <v>-0.21</v>
      </c>
      <c r="AA36" s="191">
        <v>-0.21</v>
      </c>
      <c r="AB36" s="191">
        <v>-0.21</v>
      </c>
      <c r="AC36" s="191">
        <v>-0.21</v>
      </c>
      <c r="AD36" s="191">
        <v>-0.21</v>
      </c>
    </row>
    <row r="37" spans="2:30" x14ac:dyDescent="0.2">
      <c r="D37" s="64"/>
      <c r="E37" s="64"/>
      <c r="F37" s="64"/>
      <c r="G37" s="243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243"/>
      <c r="S37" s="64"/>
      <c r="T37" s="64"/>
      <c r="U37" s="64"/>
      <c r="V37" s="243"/>
      <c r="W37" s="64"/>
      <c r="X37" s="87"/>
      <c r="AD37" s="155"/>
    </row>
    <row r="38" spans="2:30" x14ac:dyDescent="0.2">
      <c r="B38" s="1" t="s">
        <v>598</v>
      </c>
      <c r="D38" s="81">
        <v>0</v>
      </c>
      <c r="E38" s="81">
        <v>0</v>
      </c>
      <c r="F38" s="81">
        <v>0</v>
      </c>
      <c r="G38" s="291">
        <f>'IS FY21'!B17/1000</f>
        <v>1.5960000000000001</v>
      </c>
      <c r="H38" s="81">
        <f>SUM(W38:Z38)</f>
        <v>10.712</v>
      </c>
      <c r="I38" s="81">
        <f>SUM(AA38:AD38)</f>
        <v>11.603999999999999</v>
      </c>
      <c r="J38" s="192">
        <f>I38</f>
        <v>11.603999999999999</v>
      </c>
      <c r="K38" s="192">
        <f>J38</f>
        <v>11.603999999999999</v>
      </c>
      <c r="L38" s="192">
        <f>K38</f>
        <v>11.603999999999999</v>
      </c>
      <c r="M38" s="192">
        <f>L38</f>
        <v>11.603999999999999</v>
      </c>
      <c r="N38" s="64"/>
      <c r="O38" s="81">
        <v>0</v>
      </c>
      <c r="P38" s="81">
        <v>0</v>
      </c>
      <c r="Q38" s="81">
        <v>0</v>
      </c>
      <c r="R38" s="243">
        <v>0</v>
      </c>
      <c r="S38" s="168">
        <f>'IS 1Q21'!B16/1000</f>
        <v>-5.4749999999999996</v>
      </c>
      <c r="T38" s="168">
        <f>'IS 2Q21'!B17/1000</f>
        <v>4.5960000000000001</v>
      </c>
      <c r="U38" s="168">
        <f>'IS 3Q21'!B17/1000</f>
        <v>2.79</v>
      </c>
      <c r="V38" s="243">
        <f>G38-SUM(S38:U38)</f>
        <v>-0.31500000000000039</v>
      </c>
      <c r="W38" s="168">
        <f>'IS 1Q22'!B16/1000</f>
        <v>2.0089999999999999</v>
      </c>
      <c r="X38" s="168">
        <f>'IS 2Q22'!B17/1000</f>
        <v>2.9009999999999998</v>
      </c>
      <c r="Y38" s="192">
        <f t="shared" ref="Y38:AD38" si="40">X38</f>
        <v>2.9009999999999998</v>
      </c>
      <c r="Z38" s="324">
        <f t="shared" si="40"/>
        <v>2.9009999999999998</v>
      </c>
      <c r="AA38" s="192">
        <f t="shared" si="40"/>
        <v>2.9009999999999998</v>
      </c>
      <c r="AB38" s="192">
        <f t="shared" si="40"/>
        <v>2.9009999999999998</v>
      </c>
      <c r="AC38" s="192">
        <f t="shared" si="40"/>
        <v>2.9009999999999998</v>
      </c>
      <c r="AD38" s="193">
        <f t="shared" si="40"/>
        <v>2.9009999999999998</v>
      </c>
    </row>
    <row r="39" spans="2:30" x14ac:dyDescent="0.2">
      <c r="B39" s="13" t="s">
        <v>124</v>
      </c>
      <c r="C39" s="13"/>
      <c r="D39" s="183">
        <f t="shared" ref="D39:M39" si="41">D34-D38</f>
        <v>8.6470000000000073</v>
      </c>
      <c r="E39" s="183">
        <f t="shared" si="41"/>
        <v>25.143000000000004</v>
      </c>
      <c r="F39" s="183">
        <f t="shared" si="41"/>
        <v>33.766000000000012</v>
      </c>
      <c r="G39" s="310">
        <f t="shared" si="41"/>
        <v>2.3479999999999852</v>
      </c>
      <c r="H39" s="183">
        <f t="shared" ca="1" si="41"/>
        <v>13.950314065715819</v>
      </c>
      <c r="I39" s="183">
        <f t="shared" ca="1" si="41"/>
        <v>46.479616002603599</v>
      </c>
      <c r="J39" s="183">
        <f t="shared" ca="1" si="41"/>
        <v>76.001652560410221</v>
      </c>
      <c r="K39" s="183">
        <f t="shared" ca="1" si="41"/>
        <v>103.99645439146884</v>
      </c>
      <c r="L39" s="183">
        <f t="shared" ca="1" si="41"/>
        <v>130.10494408268761</v>
      </c>
      <c r="M39" s="183">
        <f t="shared" ca="1" si="41"/>
        <v>153.95503930047198</v>
      </c>
      <c r="N39" s="64"/>
      <c r="O39" s="183">
        <f>O34-O38</f>
        <v>9.2950000000000035</v>
      </c>
      <c r="P39" s="183">
        <f>P34-P38</f>
        <v>5.2230000000000008</v>
      </c>
      <c r="Q39" s="183">
        <f>Q34-Q38</f>
        <v>15.001000000000001</v>
      </c>
      <c r="R39" s="310">
        <f>R34-R38</f>
        <v>7.052000000000028</v>
      </c>
      <c r="S39" s="183">
        <f t="shared" ref="S39:X39" si="42">S34-S38</f>
        <v>-2.859</v>
      </c>
      <c r="T39" s="183">
        <f t="shared" si="42"/>
        <v>4.5580000000000034</v>
      </c>
      <c r="U39" s="183">
        <f t="shared" si="42"/>
        <v>2.486000000000006</v>
      </c>
      <c r="V39" s="310">
        <f t="shared" si="42"/>
        <v>-1.8370000000000233</v>
      </c>
      <c r="W39" s="183">
        <f t="shared" si="42"/>
        <v>2.640000000000001</v>
      </c>
      <c r="X39" s="183">
        <f t="shared" si="42"/>
        <v>4.4019999999999966</v>
      </c>
      <c r="Y39" s="183">
        <f t="shared" ref="Y39:AD39" ca="1" si="43">Y34-Y38</f>
        <v>6.3243745545873615</v>
      </c>
      <c r="Z39" s="310">
        <f t="shared" ca="1" si="43"/>
        <v>0.58393951112845688</v>
      </c>
      <c r="AA39" s="183">
        <f t="shared" ca="1" si="43"/>
        <v>9.9888578875089031</v>
      </c>
      <c r="AB39" s="183">
        <f t="shared" ca="1" si="43"/>
        <v>10.866566492890817</v>
      </c>
      <c r="AC39" s="183">
        <f t="shared" ca="1" si="43"/>
        <v>17.477001018773926</v>
      </c>
      <c r="AD39" s="183">
        <f t="shared" ca="1" si="43"/>
        <v>8.1471906034299284</v>
      </c>
    </row>
    <row r="40" spans="2:30" x14ac:dyDescent="0.2">
      <c r="AD40" s="155"/>
    </row>
    <row r="41" spans="2:30" ht="15" x14ac:dyDescent="0.25">
      <c r="B41" s="75" t="s">
        <v>122</v>
      </c>
      <c r="C41" s="75"/>
      <c r="D41" s="75"/>
      <c r="E41" s="75"/>
      <c r="F41" s="75"/>
      <c r="G41" s="372"/>
      <c r="H41" s="75"/>
      <c r="I41" s="22"/>
      <c r="AD41" s="155"/>
    </row>
    <row r="42" spans="2:30" x14ac:dyDescent="0.2">
      <c r="B42" s="1" t="s">
        <v>113</v>
      </c>
      <c r="D42" s="64">
        <f>D34</f>
        <v>8.6470000000000073</v>
      </c>
      <c r="E42" s="64">
        <f t="shared" ref="E42:M42" si="44">E34</f>
        <v>25.143000000000004</v>
      </c>
      <c r="F42" s="64">
        <f t="shared" si="44"/>
        <v>33.766000000000012</v>
      </c>
      <c r="G42" s="243">
        <f t="shared" si="44"/>
        <v>3.9439999999999853</v>
      </c>
      <c r="H42" s="64">
        <f t="shared" ca="1" si="44"/>
        <v>24.662314065715819</v>
      </c>
      <c r="I42" s="183">
        <f t="shared" ca="1" si="44"/>
        <v>58.083616002603598</v>
      </c>
      <c r="J42" s="183">
        <f t="shared" ca="1" si="44"/>
        <v>87.605652560410221</v>
      </c>
      <c r="K42" s="183">
        <f t="shared" ca="1" si="44"/>
        <v>115.60045439146884</v>
      </c>
      <c r="L42" s="183">
        <f t="shared" ca="1" si="44"/>
        <v>141.70894408268762</v>
      </c>
      <c r="M42" s="183">
        <f t="shared" ca="1" si="44"/>
        <v>165.55903930047199</v>
      </c>
      <c r="N42" s="64"/>
      <c r="O42" s="183">
        <f t="shared" ref="O42:W42" si="45">O34</f>
        <v>9.2950000000000035</v>
      </c>
      <c r="P42" s="183">
        <f t="shared" si="45"/>
        <v>5.2230000000000008</v>
      </c>
      <c r="Q42" s="183">
        <f t="shared" si="45"/>
        <v>15.001000000000001</v>
      </c>
      <c r="R42" s="310">
        <f t="shared" si="45"/>
        <v>7.052000000000028</v>
      </c>
      <c r="S42" s="183">
        <f t="shared" si="45"/>
        <v>-8.3339999999999996</v>
      </c>
      <c r="T42" s="183">
        <f t="shared" si="45"/>
        <v>9.1540000000000035</v>
      </c>
      <c r="U42" s="183">
        <f t="shared" si="45"/>
        <v>5.276000000000006</v>
      </c>
      <c r="V42" s="310">
        <f t="shared" si="45"/>
        <v>-2.1520000000000237</v>
      </c>
      <c r="W42" s="183">
        <f t="shared" si="45"/>
        <v>4.6490000000000009</v>
      </c>
      <c r="X42" s="183">
        <f t="shared" ref="X42:AD42" si="46">X34</f>
        <v>7.3029999999999964</v>
      </c>
      <c r="Y42" s="183">
        <f t="shared" ca="1" si="46"/>
        <v>9.2253745545873613</v>
      </c>
      <c r="Z42" s="310">
        <f t="shared" ca="1" si="46"/>
        <v>3.4849395111284567</v>
      </c>
      <c r="AA42" s="183">
        <f t="shared" ca="1" si="46"/>
        <v>12.889857887508903</v>
      </c>
      <c r="AB42" s="183">
        <f t="shared" ca="1" si="46"/>
        <v>13.767566492890817</v>
      </c>
      <c r="AC42" s="183">
        <f t="shared" ca="1" si="46"/>
        <v>20.378001018773926</v>
      </c>
      <c r="AD42" s="183">
        <f t="shared" ca="1" si="46"/>
        <v>11.048190603429928</v>
      </c>
    </row>
    <row r="43" spans="2:30" x14ac:dyDescent="0.2">
      <c r="B43" s="1" t="s">
        <v>116</v>
      </c>
      <c r="D43" s="64">
        <f t="shared" ref="D43:M43" si="47">-D28</f>
        <v>2.44</v>
      </c>
      <c r="E43" s="64">
        <f t="shared" si="47"/>
        <v>1.7869999999999999</v>
      </c>
      <c r="F43" s="64">
        <f t="shared" si="47"/>
        <v>3.51</v>
      </c>
      <c r="G43" s="243">
        <f t="shared" si="47"/>
        <v>14.548999999999999</v>
      </c>
      <c r="H43" s="64">
        <f t="shared" ca="1" si="47"/>
        <v>17.491515853524284</v>
      </c>
      <c r="I43" s="64">
        <f t="shared" ca="1" si="47"/>
        <v>19.048398439742293</v>
      </c>
      <c r="J43" s="64">
        <f t="shared" ca="1" si="47"/>
        <v>14.073042173373151</v>
      </c>
      <c r="K43" s="64">
        <f t="shared" ca="1" si="47"/>
        <v>11.892749999999999</v>
      </c>
      <c r="L43" s="64">
        <f t="shared" ca="1" si="47"/>
        <v>11.794625</v>
      </c>
      <c r="M43" s="64">
        <f t="shared" ca="1" si="47"/>
        <v>11.932000000000002</v>
      </c>
      <c r="N43" s="64"/>
      <c r="O43" s="64">
        <f t="shared" ref="O43:X43" si="48">-O28</f>
        <v>0.27200000000000002</v>
      </c>
      <c r="P43" s="64">
        <f t="shared" si="48"/>
        <v>0.22500000000000001</v>
      </c>
      <c r="Q43" s="64">
        <f t="shared" si="48"/>
        <v>0.104</v>
      </c>
      <c r="R43" s="243">
        <f t="shared" si="48"/>
        <v>0.104</v>
      </c>
      <c r="S43" s="64">
        <f t="shared" si="48"/>
        <v>3.7090000000000001</v>
      </c>
      <c r="T43" s="64">
        <f t="shared" si="48"/>
        <v>3.62</v>
      </c>
      <c r="U43" s="64">
        <f t="shared" si="48"/>
        <v>3.5819999999999999</v>
      </c>
      <c r="V43" s="243">
        <f t="shared" si="48"/>
        <v>3.6379999999999981</v>
      </c>
      <c r="W43" s="64">
        <f t="shared" si="48"/>
        <v>3.8359999999999999</v>
      </c>
      <c r="X43" s="64">
        <f t="shared" si="48"/>
        <v>4.17</v>
      </c>
      <c r="Y43" s="64">
        <f t="shared" ref="Y43:AD43" ca="1" si="49">-Y28</f>
        <v>4.8239086903957471</v>
      </c>
      <c r="Z43" s="243">
        <f t="shared" ca="1" si="49"/>
        <v>4.6616071631285356</v>
      </c>
      <c r="AA43" s="64">
        <f t="shared" ca="1" si="49"/>
        <v>4.6812746305266995</v>
      </c>
      <c r="AB43" s="64">
        <f t="shared" ca="1" si="49"/>
        <v>4.8416635794103478</v>
      </c>
      <c r="AC43" s="64">
        <f t="shared" ca="1" si="49"/>
        <v>4.8939649390519904</v>
      </c>
      <c r="AD43" s="64">
        <f t="shared" ca="1" si="49"/>
        <v>4.6314952907532572</v>
      </c>
    </row>
    <row r="44" spans="2:30" x14ac:dyDescent="0.2">
      <c r="B44" s="1" t="s">
        <v>114</v>
      </c>
      <c r="D44" s="64">
        <f t="shared" ref="D44:M44" si="50">-D33</f>
        <v>0</v>
      </c>
      <c r="E44" s="64">
        <f t="shared" si="50"/>
        <v>0</v>
      </c>
      <c r="F44" s="64">
        <f t="shared" si="50"/>
        <v>0</v>
      </c>
      <c r="G44" s="243">
        <f t="shared" si="50"/>
        <v>8.5999999999999993E-2</v>
      </c>
      <c r="H44" s="64">
        <f t="shared" ca="1" si="50"/>
        <v>6.4116910807599004</v>
      </c>
      <c r="I44" s="64">
        <f t="shared" ca="1" si="50"/>
        <v>15.439948557654114</v>
      </c>
      <c r="J44" s="64">
        <f t="shared" ca="1" si="50"/>
        <v>23.287578528716629</v>
      </c>
      <c r="K44" s="64">
        <f t="shared" ca="1" si="50"/>
        <v>30.729234711656265</v>
      </c>
      <c r="L44" s="64">
        <f t="shared" ca="1" si="50"/>
        <v>37.66946614856252</v>
      </c>
      <c r="M44" s="64">
        <f t="shared" ca="1" si="50"/>
        <v>44.009364877340637</v>
      </c>
      <c r="N44" s="64"/>
      <c r="O44" s="64">
        <f t="shared" ref="O44:X44" si="51">-O33</f>
        <v>0</v>
      </c>
      <c r="P44" s="64">
        <f t="shared" si="51"/>
        <v>0</v>
      </c>
      <c r="Q44" s="64">
        <f t="shared" si="51"/>
        <v>0</v>
      </c>
      <c r="R44" s="243">
        <f t="shared" si="51"/>
        <v>0</v>
      </c>
      <c r="S44" s="64">
        <f t="shared" si="51"/>
        <v>-1.4750000000000001</v>
      </c>
      <c r="T44" s="64">
        <f t="shared" si="51"/>
        <v>-0.33900000000000002</v>
      </c>
      <c r="U44" s="64">
        <f t="shared" si="51"/>
        <v>-1.3089999999999999</v>
      </c>
      <c r="V44" s="243">
        <f t="shared" si="51"/>
        <v>3.2090000000000001</v>
      </c>
      <c r="W44" s="64">
        <f t="shared" si="51"/>
        <v>1.522</v>
      </c>
      <c r="X44" s="64">
        <f t="shared" si="51"/>
        <v>1.5109999999999999</v>
      </c>
      <c r="Y44" s="64">
        <f t="shared" ref="Y44:AD44" ca="1" si="52">-Y33</f>
        <v>2.4523147550168933</v>
      </c>
      <c r="Z44" s="243">
        <f t="shared" ca="1" si="52"/>
        <v>0.92637632574300732</v>
      </c>
      <c r="AA44" s="64">
        <f t="shared" ca="1" si="52"/>
        <v>3.4264179194643916</v>
      </c>
      <c r="AB44" s="64">
        <f t="shared" ca="1" si="52"/>
        <v>3.6597328651988246</v>
      </c>
      <c r="AC44" s="64">
        <f t="shared" ca="1" si="52"/>
        <v>5.4169369796740812</v>
      </c>
      <c r="AD44" s="64">
        <f t="shared" ca="1" si="52"/>
        <v>2.936860793316816</v>
      </c>
    </row>
    <row r="45" spans="2:30" x14ac:dyDescent="0.2">
      <c r="B45" s="1" t="s">
        <v>117</v>
      </c>
      <c r="D45" s="81">
        <v>1.006</v>
      </c>
      <c r="E45" s="81">
        <v>1.179</v>
      </c>
      <c r="F45" s="81">
        <v>1.42</v>
      </c>
      <c r="G45" s="291">
        <v>1.7010000000000001</v>
      </c>
      <c r="H45" s="64">
        <f>SUM(W45:Z45)</f>
        <v>3.2861039999999999</v>
      </c>
      <c r="I45" s="64">
        <f>SUM(AA45:AD45)</f>
        <v>4.8923982500000003</v>
      </c>
      <c r="J45" s="180">
        <f>J101</f>
        <v>5.9736449250000003</v>
      </c>
      <c r="K45" s="180">
        <f>K101</f>
        <v>7.348708631250001</v>
      </c>
      <c r="L45" s="180">
        <f>L101</f>
        <v>9.0293420500000003</v>
      </c>
      <c r="M45" s="180">
        <f>M101</f>
        <v>9.8700796956250016</v>
      </c>
      <c r="N45" s="64"/>
      <c r="O45" s="81">
        <v>0.32600000000000001</v>
      </c>
      <c r="P45" s="81">
        <v>0.33800000000000002</v>
      </c>
      <c r="Q45" s="81">
        <v>0.39100000000000001</v>
      </c>
      <c r="R45" s="243">
        <f t="shared" ref="R45:R53" si="53">F45-SUM(O45:Q45)</f>
        <v>0.36499999999999977</v>
      </c>
      <c r="S45" s="81">
        <v>0.40500000000000003</v>
      </c>
      <c r="T45" s="81">
        <v>0.41099999999999998</v>
      </c>
      <c r="U45" s="81">
        <v>0.44900000000000001</v>
      </c>
      <c r="V45" s="243">
        <f>G45-SUM(S45:U45)</f>
        <v>0.43599999999999994</v>
      </c>
      <c r="W45" s="81">
        <v>0.42399999999999999</v>
      </c>
      <c r="X45" s="81">
        <v>0.47</v>
      </c>
      <c r="Y45" s="180">
        <f t="shared" ref="Y45:AD45" si="54">Y101</f>
        <v>1.1960520000000001</v>
      </c>
      <c r="Z45" s="322">
        <f t="shared" si="54"/>
        <v>1.1960520000000001</v>
      </c>
      <c r="AA45" s="180">
        <f t="shared" si="54"/>
        <v>1.2230995625000001</v>
      </c>
      <c r="AB45" s="180">
        <f t="shared" si="54"/>
        <v>1.2230995625000001</v>
      </c>
      <c r="AC45" s="180">
        <f t="shared" si="54"/>
        <v>1.2230995625000001</v>
      </c>
      <c r="AD45" s="187">
        <f t="shared" si="54"/>
        <v>1.2230995625000001</v>
      </c>
    </row>
    <row r="46" spans="2:30" x14ac:dyDescent="0.2">
      <c r="B46" s="1" t="s">
        <v>118</v>
      </c>
      <c r="D46" s="81">
        <v>7.984</v>
      </c>
      <c r="E46" s="81">
        <v>7.984</v>
      </c>
      <c r="F46" s="81">
        <v>7.9850000000000003</v>
      </c>
      <c r="G46" s="291">
        <v>8.3520000000000003</v>
      </c>
      <c r="H46" s="64">
        <f>SUM(W46:Z46)</f>
        <v>8.6589999999999989</v>
      </c>
      <c r="I46" s="64">
        <f>SUM(AA46:AD46)</f>
        <v>7.9180000000000001</v>
      </c>
      <c r="J46" s="64">
        <f>J104</f>
        <v>7.585</v>
      </c>
      <c r="K46" s="64">
        <f>K104</f>
        <v>7.585</v>
      </c>
      <c r="L46" s="64">
        <f>L104</f>
        <v>7.585</v>
      </c>
      <c r="M46" s="64">
        <f>M104</f>
        <v>7.585</v>
      </c>
      <c r="N46" s="64"/>
      <c r="O46" s="81">
        <v>1.996</v>
      </c>
      <c r="P46" s="81">
        <v>1.996</v>
      </c>
      <c r="Q46" s="81">
        <v>1.996</v>
      </c>
      <c r="R46" s="243">
        <f t="shared" si="53"/>
        <v>1.9970000000000008</v>
      </c>
      <c r="S46" s="81">
        <v>1.996</v>
      </c>
      <c r="T46" s="81">
        <v>1.996</v>
      </c>
      <c r="U46" s="81">
        <v>2.0880000000000001</v>
      </c>
      <c r="V46" s="243">
        <f>G46-SUM(S46:U46)</f>
        <v>2.2720000000000002</v>
      </c>
      <c r="W46" s="81">
        <v>2.27</v>
      </c>
      <c r="X46" s="81">
        <v>2.238</v>
      </c>
      <c r="Y46" s="180">
        <f t="shared" ref="Y46:AD46" si="55">Y104</f>
        <v>2.0754999999999999</v>
      </c>
      <c r="Z46" s="322">
        <f t="shared" si="55"/>
        <v>2.0754999999999999</v>
      </c>
      <c r="AA46" s="180">
        <f t="shared" si="55"/>
        <v>1.9795</v>
      </c>
      <c r="AB46" s="180">
        <f t="shared" si="55"/>
        <v>1.9795</v>
      </c>
      <c r="AC46" s="180">
        <f t="shared" si="55"/>
        <v>1.9795</v>
      </c>
      <c r="AD46" s="187">
        <f t="shared" si="55"/>
        <v>1.9795</v>
      </c>
    </row>
    <row r="47" spans="2:30" x14ac:dyDescent="0.2">
      <c r="B47" s="1" t="s">
        <v>322</v>
      </c>
      <c r="D47" s="81">
        <v>3.7999999999999999E-2</v>
      </c>
      <c r="E47" s="81">
        <v>3.7999999999999999E-2</v>
      </c>
      <c r="F47" s="81">
        <v>0.35099999999999998</v>
      </c>
      <c r="G47" s="291">
        <f>'CF FY21'!B7/1000</f>
        <v>5.9690000000000003</v>
      </c>
      <c r="H47" s="64">
        <f>SUM(W47:Z47)</f>
        <v>0.68400000000000005</v>
      </c>
      <c r="I47" s="64">
        <f>SUM(AA47:AD47)</f>
        <v>0</v>
      </c>
      <c r="J47" s="180">
        <v>0</v>
      </c>
      <c r="K47" s="180">
        <v>0</v>
      </c>
      <c r="L47" s="180">
        <v>0</v>
      </c>
      <c r="M47" s="180">
        <v>0</v>
      </c>
      <c r="N47" s="64"/>
      <c r="O47" s="81"/>
      <c r="P47" s="81"/>
      <c r="Q47" s="81"/>
      <c r="R47" s="243"/>
      <c r="S47" s="81">
        <f>'CF 1Q21'!B7/1000</f>
        <v>5.1100000000000003</v>
      </c>
      <c r="T47" s="81">
        <f>'CF 2Q21'!B7/1000-IS!S47</f>
        <v>0.30499999999999972</v>
      </c>
      <c r="U47" s="81">
        <f>'CF 3Q21'!B7/1000-SUM(IS!S47:T47)</f>
        <v>0.27700000000000014</v>
      </c>
      <c r="V47" s="243">
        <f>'CF FY21'!B7/1000-SUM(IS!S47:U47)</f>
        <v>0.27700000000000014</v>
      </c>
      <c r="W47" s="81">
        <f>'CF 1Q22'!B7/1000</f>
        <v>0.27600000000000002</v>
      </c>
      <c r="X47" s="81">
        <f>'CF 2Q22'!B7/1000-IS!W47</f>
        <v>0.40800000000000003</v>
      </c>
      <c r="Y47" s="192">
        <v>0</v>
      </c>
      <c r="Z47" s="324">
        <f>Y47</f>
        <v>0</v>
      </c>
      <c r="AA47" s="192">
        <f>Z47</f>
        <v>0</v>
      </c>
      <c r="AB47" s="192">
        <f>AA47</f>
        <v>0</v>
      </c>
      <c r="AC47" s="192">
        <f>AB47</f>
        <v>0</v>
      </c>
      <c r="AD47" s="193">
        <f>AC47</f>
        <v>0</v>
      </c>
    </row>
    <row r="48" spans="2:30" x14ac:dyDescent="0.2">
      <c r="B48" s="1" t="s">
        <v>126</v>
      </c>
      <c r="D48" s="64">
        <f t="shared" ref="D48:I48" si="56">-D29</f>
        <v>0</v>
      </c>
      <c r="E48" s="64">
        <f t="shared" si="56"/>
        <v>0</v>
      </c>
      <c r="F48" s="64">
        <f t="shared" si="56"/>
        <v>0</v>
      </c>
      <c r="G48" s="243">
        <f t="shared" si="56"/>
        <v>1.663</v>
      </c>
      <c r="H48" s="64">
        <f t="shared" si="56"/>
        <v>0</v>
      </c>
      <c r="I48" s="64">
        <f t="shared" si="56"/>
        <v>0</v>
      </c>
      <c r="J48" s="64">
        <f t="shared" ref="J48:M49" si="57">-J29</f>
        <v>0</v>
      </c>
      <c r="K48" s="64">
        <f t="shared" si="57"/>
        <v>0</v>
      </c>
      <c r="L48" s="64">
        <f t="shared" si="57"/>
        <v>0</v>
      </c>
      <c r="M48" s="64">
        <f t="shared" si="57"/>
        <v>0</v>
      </c>
      <c r="N48" s="64"/>
      <c r="O48" s="81">
        <f>-O29</f>
        <v>0</v>
      </c>
      <c r="P48" s="81">
        <f>-P29</f>
        <v>0</v>
      </c>
      <c r="Q48" s="81">
        <f>-Q29</f>
        <v>0</v>
      </c>
      <c r="R48" s="243">
        <f t="shared" si="53"/>
        <v>0</v>
      </c>
      <c r="S48" s="64">
        <f t="shared" ref="S48:X48" si="58">-S29</f>
        <v>0</v>
      </c>
      <c r="T48" s="64">
        <f t="shared" si="58"/>
        <v>1.6639999999999999</v>
      </c>
      <c r="U48" s="64">
        <f t="shared" si="58"/>
        <v>2.0139999999999998</v>
      </c>
      <c r="V48" s="243">
        <f t="shared" si="58"/>
        <v>-2.0149999999999997</v>
      </c>
      <c r="W48" s="64">
        <f t="shared" si="58"/>
        <v>0</v>
      </c>
      <c r="X48" s="64">
        <f t="shared" si="58"/>
        <v>0</v>
      </c>
      <c r="Y48" s="64">
        <f t="shared" ref="Y48:AD48" si="59">-Y29</f>
        <v>0</v>
      </c>
      <c r="Z48" s="243">
        <f t="shared" si="59"/>
        <v>0</v>
      </c>
      <c r="AA48" s="64">
        <f t="shared" si="59"/>
        <v>0</v>
      </c>
      <c r="AB48" s="64">
        <f t="shared" si="59"/>
        <v>0</v>
      </c>
      <c r="AC48" s="64">
        <f t="shared" si="59"/>
        <v>0</v>
      </c>
      <c r="AD48" s="64">
        <f t="shared" si="59"/>
        <v>0</v>
      </c>
    </row>
    <row r="49" spans="2:30" x14ac:dyDescent="0.2">
      <c r="B49" s="1" t="s">
        <v>125</v>
      </c>
      <c r="D49" s="64">
        <v>0</v>
      </c>
      <c r="E49" s="64">
        <v>0</v>
      </c>
      <c r="F49" s="64">
        <v>0</v>
      </c>
      <c r="G49" s="243">
        <f>-G30</f>
        <v>15.99</v>
      </c>
      <c r="H49" s="64">
        <f>-H30</f>
        <v>0</v>
      </c>
      <c r="I49" s="64">
        <f>-I30</f>
        <v>0</v>
      </c>
      <c r="J49" s="64">
        <f t="shared" si="57"/>
        <v>0</v>
      </c>
      <c r="K49" s="64">
        <f t="shared" si="57"/>
        <v>0</v>
      </c>
      <c r="L49" s="64">
        <f t="shared" si="57"/>
        <v>0</v>
      </c>
      <c r="M49" s="64">
        <f t="shared" si="57"/>
        <v>0</v>
      </c>
      <c r="N49" s="64"/>
      <c r="O49" s="81">
        <v>0</v>
      </c>
      <c r="P49" s="81">
        <v>0</v>
      </c>
      <c r="Q49" s="81">
        <v>0</v>
      </c>
      <c r="R49" s="243">
        <f t="shared" si="53"/>
        <v>0</v>
      </c>
      <c r="S49" s="64">
        <f t="shared" ref="S49:X49" si="60">-S30</f>
        <v>15.99</v>
      </c>
      <c r="T49" s="64">
        <f t="shared" si="60"/>
        <v>0</v>
      </c>
      <c r="U49" s="64">
        <f t="shared" si="60"/>
        <v>0</v>
      </c>
      <c r="V49" s="243">
        <f t="shared" si="60"/>
        <v>0</v>
      </c>
      <c r="W49" s="64">
        <f t="shared" si="60"/>
        <v>0</v>
      </c>
      <c r="X49" s="64">
        <f t="shared" si="60"/>
        <v>0</v>
      </c>
      <c r="Y49" s="64">
        <f t="shared" ref="Y49:AD49" si="61">-Y30</f>
        <v>0</v>
      </c>
      <c r="Z49" s="243">
        <f t="shared" si="61"/>
        <v>0</v>
      </c>
      <c r="AA49" s="64">
        <f t="shared" si="61"/>
        <v>0</v>
      </c>
      <c r="AB49" s="64">
        <f t="shared" si="61"/>
        <v>0</v>
      </c>
      <c r="AC49" s="64">
        <f t="shared" si="61"/>
        <v>0</v>
      </c>
      <c r="AD49" s="64">
        <f t="shared" si="61"/>
        <v>0</v>
      </c>
    </row>
    <row r="50" spans="2:30" x14ac:dyDescent="0.2">
      <c r="B50" s="1" t="s">
        <v>119</v>
      </c>
      <c r="D50" s="81">
        <v>0</v>
      </c>
      <c r="E50" s="81">
        <v>0</v>
      </c>
      <c r="F50" s="81">
        <v>8.2509999999999994</v>
      </c>
      <c r="G50" s="291">
        <v>11.286</v>
      </c>
      <c r="H50" s="64">
        <f>SUM(W50:Z50)</f>
        <v>16.840948251462784</v>
      </c>
      <c r="I50" s="64">
        <f>SUM(AA50:AD50)</f>
        <v>25.990553228330384</v>
      </c>
      <c r="J50" s="192">
        <f>I50</f>
        <v>25.990553228330384</v>
      </c>
      <c r="K50" s="192">
        <f>J50</f>
        <v>25.990553228330384</v>
      </c>
      <c r="L50" s="192">
        <f>K50</f>
        <v>25.990553228330384</v>
      </c>
      <c r="M50" s="192">
        <f>L50</f>
        <v>25.990553228330384</v>
      </c>
      <c r="N50" s="64"/>
      <c r="O50" s="81">
        <v>0</v>
      </c>
      <c r="P50" s="81">
        <v>6.7039999999999997</v>
      </c>
      <c r="Q50" s="81">
        <v>1.032</v>
      </c>
      <c r="R50" s="243">
        <f t="shared" si="53"/>
        <v>0.51499999999999968</v>
      </c>
      <c r="S50" s="81">
        <v>1.3919999999999999</v>
      </c>
      <c r="T50" s="81">
        <v>2.78</v>
      </c>
      <c r="U50" s="81">
        <v>2.7320000000000002</v>
      </c>
      <c r="V50" s="243">
        <f>G50-SUM(S50:U50)</f>
        <v>4.3819999999999997</v>
      </c>
      <c r="W50" s="81">
        <v>3.831</v>
      </c>
      <c r="X50" s="81">
        <v>4.0629999999999997</v>
      </c>
      <c r="Y50" s="192">
        <f t="shared" ref="Y50:AD50" si="62">+X50/X9*Y9</f>
        <v>4.9625102735065996</v>
      </c>
      <c r="Z50" s="324">
        <f t="shared" si="62"/>
        <v>3.9844379779561838</v>
      </c>
      <c r="AA50" s="192">
        <f t="shared" si="62"/>
        <v>5.8251334385630695</v>
      </c>
      <c r="AB50" s="192">
        <f t="shared" si="62"/>
        <v>6.2976499999999991</v>
      </c>
      <c r="AC50" s="192">
        <f t="shared" si="62"/>
        <v>7.6918909239352296</v>
      </c>
      <c r="AD50" s="192">
        <f t="shared" si="62"/>
        <v>6.1758788658320851</v>
      </c>
    </row>
    <row r="51" spans="2:30" x14ac:dyDescent="0.2">
      <c r="B51" s="1" t="s">
        <v>128</v>
      </c>
      <c r="D51" s="81">
        <v>0</v>
      </c>
      <c r="E51" s="81">
        <v>0</v>
      </c>
      <c r="F51" s="81">
        <v>0</v>
      </c>
      <c r="G51" s="291">
        <v>2.3490000000000002</v>
      </c>
      <c r="H51" s="81">
        <f>SUM(W51:Z51)</f>
        <v>1.2E-2</v>
      </c>
      <c r="I51" s="81">
        <f>SUM(AA51:AD51)</f>
        <v>0</v>
      </c>
      <c r="J51" s="81">
        <v>0</v>
      </c>
      <c r="K51" s="81">
        <v>0</v>
      </c>
      <c r="L51" s="81">
        <v>0</v>
      </c>
      <c r="M51" s="81">
        <v>0</v>
      </c>
      <c r="N51" s="64"/>
      <c r="O51" s="64">
        <v>0</v>
      </c>
      <c r="P51" s="64">
        <v>0</v>
      </c>
      <c r="Q51" s="64">
        <v>0</v>
      </c>
      <c r="R51" s="243">
        <f t="shared" si="53"/>
        <v>0</v>
      </c>
      <c r="S51" s="64">
        <v>0</v>
      </c>
      <c r="T51" s="64">
        <v>0</v>
      </c>
      <c r="U51" s="123">
        <v>1.6970000000000001</v>
      </c>
      <c r="V51" s="243">
        <f>G51-SUM(S51:U51)</f>
        <v>0.65200000000000014</v>
      </c>
      <c r="W51" s="81">
        <v>0</v>
      </c>
      <c r="X51" s="81">
        <v>1.2E-2</v>
      </c>
      <c r="Y51" s="81">
        <v>0</v>
      </c>
      <c r="Z51" s="291">
        <v>0</v>
      </c>
      <c r="AA51" s="81">
        <v>0</v>
      </c>
      <c r="AB51" s="81">
        <v>0</v>
      </c>
      <c r="AC51" s="81">
        <v>0</v>
      </c>
      <c r="AD51" s="81">
        <v>0</v>
      </c>
    </row>
    <row r="52" spans="2:30" x14ac:dyDescent="0.2">
      <c r="B52" s="1" t="s">
        <v>120</v>
      </c>
      <c r="D52" s="81">
        <v>0</v>
      </c>
      <c r="E52" s="81">
        <v>0</v>
      </c>
      <c r="F52" s="81">
        <v>2.89</v>
      </c>
      <c r="G52" s="291">
        <v>0.33900000000000002</v>
      </c>
      <c r="H52" s="81">
        <f>SUM(W52:Z52)</f>
        <v>0</v>
      </c>
      <c r="I52" s="81">
        <f>SUM(AA52:AD52)</f>
        <v>0</v>
      </c>
      <c r="J52" s="81">
        <v>0</v>
      </c>
      <c r="K52" s="81">
        <v>0</v>
      </c>
      <c r="L52" s="81">
        <v>0</v>
      </c>
      <c r="M52" s="81">
        <v>0</v>
      </c>
      <c r="N52" s="64"/>
      <c r="O52" s="81">
        <v>0</v>
      </c>
      <c r="P52" s="81">
        <v>0.80600000000000005</v>
      </c>
      <c r="Q52" s="81">
        <v>1.2</v>
      </c>
      <c r="R52" s="243">
        <f t="shared" si="53"/>
        <v>0.8839999999999999</v>
      </c>
      <c r="S52" s="81">
        <v>5.5E-2</v>
      </c>
      <c r="T52" s="81">
        <v>0.106</v>
      </c>
      <c r="U52" s="81">
        <v>0.108</v>
      </c>
      <c r="V52" s="243">
        <f>G52-SUM(S52:U52)</f>
        <v>7.0000000000000007E-2</v>
      </c>
      <c r="W52" s="81">
        <v>0</v>
      </c>
      <c r="X52" s="81">
        <v>0</v>
      </c>
      <c r="Y52" s="81">
        <v>0</v>
      </c>
      <c r="Z52" s="291">
        <v>0</v>
      </c>
      <c r="AA52" s="81">
        <v>0</v>
      </c>
      <c r="AB52" s="81">
        <v>0</v>
      </c>
      <c r="AC52" s="81">
        <v>0</v>
      </c>
      <c r="AD52" s="81">
        <v>0</v>
      </c>
    </row>
    <row r="53" spans="2:30" x14ac:dyDescent="0.2">
      <c r="B53" s="1" t="s">
        <v>121</v>
      </c>
      <c r="D53" s="81">
        <v>1.0529999999999999</v>
      </c>
      <c r="E53" s="81">
        <v>0.68600000000000005</v>
      </c>
      <c r="F53" s="81">
        <v>3.077</v>
      </c>
      <c r="G53" s="291">
        <v>2.5979999999999999</v>
      </c>
      <c r="H53" s="81">
        <f>SUM(W53:Z53)</f>
        <v>0</v>
      </c>
      <c r="I53" s="81">
        <f>SUM(AA53:AD53)</f>
        <v>0</v>
      </c>
      <c r="J53" s="81">
        <v>0</v>
      </c>
      <c r="K53" s="81">
        <v>0</v>
      </c>
      <c r="L53" s="81">
        <v>0</v>
      </c>
      <c r="M53" s="81">
        <v>0</v>
      </c>
      <c r="N53" s="64"/>
      <c r="O53" s="81">
        <v>0.182</v>
      </c>
      <c r="P53" s="81">
        <v>0.112</v>
      </c>
      <c r="Q53" s="81">
        <v>0.15</v>
      </c>
      <c r="R53" s="243">
        <f t="shared" si="53"/>
        <v>2.633</v>
      </c>
      <c r="S53" s="81">
        <v>0.33900000000000002</v>
      </c>
      <c r="T53" s="81">
        <v>1.2390000000000001</v>
      </c>
      <c r="U53" s="81">
        <v>0.24299999999999999</v>
      </c>
      <c r="V53" s="243">
        <f>G53-SUM(S53:U53)</f>
        <v>0.77699999999999969</v>
      </c>
      <c r="W53" s="81">
        <v>0</v>
      </c>
      <c r="X53" s="81">
        <v>0</v>
      </c>
      <c r="Y53" s="81">
        <v>0</v>
      </c>
      <c r="Z53" s="291">
        <v>0</v>
      </c>
      <c r="AA53" s="81">
        <v>0</v>
      </c>
      <c r="AB53" s="81">
        <v>0</v>
      </c>
      <c r="AC53" s="81">
        <v>0</v>
      </c>
      <c r="AD53" s="81">
        <v>0</v>
      </c>
    </row>
    <row r="54" spans="2:30" ht="15" x14ac:dyDescent="0.25">
      <c r="B54" s="181" t="s">
        <v>115</v>
      </c>
      <c r="C54" s="13"/>
      <c r="D54" s="182">
        <f t="shared" ref="D54:M54" si="63">SUM(D42:D53)</f>
        <v>21.168000000000006</v>
      </c>
      <c r="E54" s="194">
        <f t="shared" si="63"/>
        <v>36.817</v>
      </c>
      <c r="F54" s="182">
        <f t="shared" si="63"/>
        <v>61.250000000000007</v>
      </c>
      <c r="G54" s="283">
        <f t="shared" si="63"/>
        <v>68.825999999999979</v>
      </c>
      <c r="H54" s="182">
        <f t="shared" ca="1" si="63"/>
        <v>78.047573251462779</v>
      </c>
      <c r="I54" s="182">
        <f t="shared" ca="1" si="63"/>
        <v>131.37291447833042</v>
      </c>
      <c r="J54" s="182">
        <f t="shared" ca="1" si="63"/>
        <v>164.5154714158304</v>
      </c>
      <c r="K54" s="182">
        <f t="shared" ca="1" si="63"/>
        <v>199.14670096270549</v>
      </c>
      <c r="L54" s="182">
        <f t="shared" ca="1" si="63"/>
        <v>233.77793050958053</v>
      </c>
      <c r="M54" s="182">
        <f t="shared" ca="1" si="63"/>
        <v>264.94603710176801</v>
      </c>
      <c r="N54" s="64"/>
      <c r="O54" s="182">
        <f>SUM(O42:O53)</f>
        <v>12.071000000000005</v>
      </c>
      <c r="P54" s="182">
        <f>SUM(P42:P53)</f>
        <v>15.404000000000002</v>
      </c>
      <c r="Q54" s="182">
        <f>SUM(Q42:Q53)</f>
        <v>19.873999999999999</v>
      </c>
      <c r="R54" s="283">
        <f>SUM(R42:R53)</f>
        <v>13.550000000000029</v>
      </c>
      <c r="S54" s="182">
        <f t="shared" ref="S54:X54" si="64">SUM(S42:S53)</f>
        <v>19.186999999999998</v>
      </c>
      <c r="T54" s="182">
        <f t="shared" si="64"/>
        <v>20.936000000000007</v>
      </c>
      <c r="U54" s="182">
        <f t="shared" si="64"/>
        <v>17.157000000000004</v>
      </c>
      <c r="V54" s="283">
        <f t="shared" si="64"/>
        <v>11.545999999999976</v>
      </c>
      <c r="W54" s="182">
        <f t="shared" si="64"/>
        <v>16.808</v>
      </c>
      <c r="X54" s="182">
        <f t="shared" si="64"/>
        <v>20.174999999999994</v>
      </c>
      <c r="Y54" s="182">
        <f t="shared" ref="Y54:AD54" ca="1" si="65">SUM(Y42:Y53)</f>
        <v>24.7356602735066</v>
      </c>
      <c r="Z54" s="283">
        <f t="shared" ca="1" si="65"/>
        <v>16.328912977956183</v>
      </c>
      <c r="AA54" s="182">
        <f t="shared" ca="1" si="65"/>
        <v>30.025283438563065</v>
      </c>
      <c r="AB54" s="182">
        <f t="shared" ca="1" si="65"/>
        <v>31.769212499999995</v>
      </c>
      <c r="AC54" s="182">
        <f t="shared" ca="1" si="65"/>
        <v>41.58339342393522</v>
      </c>
      <c r="AD54" s="182">
        <f t="shared" ca="1" si="65"/>
        <v>27.995025115832089</v>
      </c>
    </row>
    <row r="55" spans="2:30" x14ac:dyDescent="0.2">
      <c r="AD55" s="155"/>
    </row>
    <row r="56" spans="2:30" x14ac:dyDescent="0.2">
      <c r="B56" s="195" t="s">
        <v>102</v>
      </c>
      <c r="C56" s="195"/>
      <c r="D56" s="196">
        <f t="shared" ref="D56:M56" si="66">D34</f>
        <v>8.6470000000000073</v>
      </c>
      <c r="E56" s="196">
        <f t="shared" si="66"/>
        <v>25.143000000000004</v>
      </c>
      <c r="F56" s="196">
        <f t="shared" si="66"/>
        <v>33.766000000000012</v>
      </c>
      <c r="G56" s="313">
        <f t="shared" si="66"/>
        <v>3.9439999999999853</v>
      </c>
      <c r="H56" s="196">
        <f t="shared" ca="1" si="66"/>
        <v>24.662314065715819</v>
      </c>
      <c r="I56" s="196">
        <f t="shared" ca="1" si="66"/>
        <v>58.083616002603598</v>
      </c>
      <c r="J56" s="196">
        <f t="shared" ca="1" si="66"/>
        <v>87.605652560410221</v>
      </c>
      <c r="K56" s="196">
        <f t="shared" ca="1" si="66"/>
        <v>115.60045439146884</v>
      </c>
      <c r="L56" s="196">
        <f t="shared" ca="1" si="66"/>
        <v>141.70894408268762</v>
      </c>
      <c r="M56" s="196">
        <f t="shared" ca="1" si="66"/>
        <v>165.55903930047199</v>
      </c>
      <c r="O56" s="196">
        <f t="shared" ref="O56:AD56" si="67">O34</f>
        <v>9.2950000000000035</v>
      </c>
      <c r="P56" s="196">
        <f t="shared" si="67"/>
        <v>5.2230000000000008</v>
      </c>
      <c r="Q56" s="196">
        <f t="shared" si="67"/>
        <v>15.001000000000001</v>
      </c>
      <c r="R56" s="313">
        <f t="shared" si="67"/>
        <v>7.052000000000028</v>
      </c>
      <c r="S56" s="196">
        <f t="shared" si="67"/>
        <v>-8.3339999999999996</v>
      </c>
      <c r="T56" s="196">
        <f t="shared" si="67"/>
        <v>9.1540000000000035</v>
      </c>
      <c r="U56" s="196">
        <f t="shared" si="67"/>
        <v>5.276000000000006</v>
      </c>
      <c r="V56" s="313">
        <f t="shared" si="67"/>
        <v>-2.1520000000000237</v>
      </c>
      <c r="W56" s="196">
        <f t="shared" si="67"/>
        <v>4.6490000000000009</v>
      </c>
      <c r="X56" s="196">
        <f t="shared" si="67"/>
        <v>7.3029999999999964</v>
      </c>
      <c r="Y56" s="196">
        <f t="shared" ca="1" si="67"/>
        <v>9.2253745545873613</v>
      </c>
      <c r="Z56" s="313">
        <f t="shared" ca="1" si="67"/>
        <v>3.4849395111284567</v>
      </c>
      <c r="AA56" s="196">
        <f t="shared" ca="1" si="67"/>
        <v>12.889857887508903</v>
      </c>
      <c r="AB56" s="196">
        <f t="shared" ca="1" si="67"/>
        <v>13.767566492890817</v>
      </c>
      <c r="AC56" s="196">
        <f t="shared" ca="1" si="67"/>
        <v>20.378001018773926</v>
      </c>
      <c r="AD56" s="196">
        <f t="shared" ca="1" si="67"/>
        <v>11.048190603429928</v>
      </c>
    </row>
    <row r="57" spans="2:30" x14ac:dyDescent="0.2">
      <c r="B57" s="197" t="s">
        <v>99</v>
      </c>
      <c r="C57" s="195"/>
      <c r="D57" s="198">
        <f t="shared" ref="D57:M57" si="68">IFERROR(D56/D$9,"N/A")</f>
        <v>8.3344578313253079E-2</v>
      </c>
      <c r="E57" s="198">
        <f t="shared" si="68"/>
        <v>0.17400481674233198</v>
      </c>
      <c r="F57" s="198">
        <f t="shared" si="68"/>
        <v>0.19237912920612138</v>
      </c>
      <c r="G57" s="314">
        <f t="shared" si="68"/>
        <v>1.8498020749301097E-2</v>
      </c>
      <c r="H57" s="198">
        <f t="shared" ca="1" si="68"/>
        <v>8.1314608106681022E-2</v>
      </c>
      <c r="I57" s="198">
        <f t="shared" ca="1" si="68"/>
        <v>0.12355396774375123</v>
      </c>
      <c r="J57" s="198">
        <f t="shared" ca="1" si="68"/>
        <v>0.14334806261338845</v>
      </c>
      <c r="K57" s="198">
        <f t="shared" ca="1" si="68"/>
        <v>0.1513244927917636</v>
      </c>
      <c r="L57" s="198">
        <f t="shared" ca="1" si="68"/>
        <v>0.15458441318600646</v>
      </c>
      <c r="M57" s="198">
        <f t="shared" ca="1" si="68"/>
        <v>0.15704477692130611</v>
      </c>
      <c r="O57" s="198">
        <f t="shared" ref="O57:AD57" si="69">IFERROR(O56/O$9,"N/A")</f>
        <v>0.22815414825724112</v>
      </c>
      <c r="P57" s="198">
        <f t="shared" si="69"/>
        <v>0.1202707992723421</v>
      </c>
      <c r="Q57" s="198">
        <f t="shared" si="69"/>
        <v>0.28520095821133884</v>
      </c>
      <c r="R57" s="314">
        <f t="shared" si="69"/>
        <v>0.18197300854127488</v>
      </c>
      <c r="S57" s="198">
        <f t="shared" si="69"/>
        <v>-0.18274712744496097</v>
      </c>
      <c r="T57" s="198">
        <f t="shared" si="69"/>
        <v>0.15327684940223038</v>
      </c>
      <c r="U57" s="198">
        <f t="shared" si="69"/>
        <v>8.8168449197861057E-2</v>
      </c>
      <c r="V57" s="314">
        <f t="shared" si="69"/>
        <v>-4.4790409191192274E-2</v>
      </c>
      <c r="W57" s="198">
        <f t="shared" si="69"/>
        <v>6.839178533600096E-2</v>
      </c>
      <c r="X57" s="198">
        <f t="shared" si="69"/>
        <v>9.9374064498571196E-2</v>
      </c>
      <c r="Y57" s="198">
        <f t="shared" ca="1" si="69"/>
        <v>0.1027782370163476</v>
      </c>
      <c r="Z57" s="314">
        <f t="shared" ca="1" si="69"/>
        <v>4.835559687422411E-2</v>
      </c>
      <c r="AA57" s="198">
        <f t="shared" ca="1" si="69"/>
        <v>0.12233784492732636</v>
      </c>
      <c r="AB57" s="198">
        <f t="shared" ca="1" si="69"/>
        <v>0.12086407624377965</v>
      </c>
      <c r="AC57" s="198">
        <f t="shared" ca="1" si="69"/>
        <v>0.1464694455377345</v>
      </c>
      <c r="AD57" s="198">
        <f t="shared" ca="1" si="69"/>
        <v>9.8903341317885141E-2</v>
      </c>
    </row>
    <row r="59" spans="2:30" x14ac:dyDescent="0.2">
      <c r="B59" s="179" t="s">
        <v>559</v>
      </c>
    </row>
    <row r="60" spans="2:30" x14ac:dyDescent="0.2">
      <c r="B60" s="1" t="s">
        <v>560</v>
      </c>
      <c r="E60" s="64">
        <f>E39</f>
        <v>25.143000000000004</v>
      </c>
      <c r="F60" s="64">
        <f>F39</f>
        <v>33.766000000000012</v>
      </c>
      <c r="G60" s="243">
        <f>G39</f>
        <v>2.3479999999999852</v>
      </c>
      <c r="H60" s="64">
        <f ca="1">SUM(W60:Z60)</f>
        <v>13.950314065715816</v>
      </c>
      <c r="I60" s="64">
        <f ca="1">SUM(AA60:AD60)</f>
        <v>46.479616002603571</v>
      </c>
      <c r="J60" s="64">
        <f ca="1">J39</f>
        <v>76.001652560410221</v>
      </c>
      <c r="K60" s="64">
        <f ca="1">K39</f>
        <v>103.99645439146884</v>
      </c>
      <c r="L60" s="64">
        <f ca="1">L39</f>
        <v>130.10494408268761</v>
      </c>
      <c r="M60" s="64">
        <f ca="1">M39</f>
        <v>153.95503930047198</v>
      </c>
      <c r="N60" s="64"/>
      <c r="O60" s="380"/>
      <c r="P60" s="380"/>
      <c r="Q60" s="380"/>
      <c r="R60" s="381"/>
      <c r="S60" s="64">
        <f t="shared" ref="S60:AD60" si="70">S39</f>
        <v>-2.859</v>
      </c>
      <c r="T60" s="64">
        <f t="shared" si="70"/>
        <v>4.5580000000000034</v>
      </c>
      <c r="U60" s="64">
        <f t="shared" si="70"/>
        <v>2.486000000000006</v>
      </c>
      <c r="V60" s="243">
        <f t="shared" si="70"/>
        <v>-1.8370000000000233</v>
      </c>
      <c r="W60" s="64">
        <f t="shared" si="70"/>
        <v>2.640000000000001</v>
      </c>
      <c r="X60" s="64">
        <f t="shared" si="70"/>
        <v>4.4019999999999966</v>
      </c>
      <c r="Y60" s="64">
        <f t="shared" ca="1" si="70"/>
        <v>6.3243745545873615</v>
      </c>
      <c r="Z60" s="243">
        <f t="shared" ca="1" si="70"/>
        <v>0.58393951112845688</v>
      </c>
      <c r="AA60" s="64">
        <f t="shared" ca="1" si="70"/>
        <v>9.9888578875089031</v>
      </c>
      <c r="AB60" s="64">
        <f t="shared" ca="1" si="70"/>
        <v>10.866566492890817</v>
      </c>
      <c r="AC60" s="64">
        <f t="shared" ca="1" si="70"/>
        <v>17.477001018773926</v>
      </c>
      <c r="AD60" s="188">
        <f t="shared" ca="1" si="70"/>
        <v>8.1471906034299284</v>
      </c>
    </row>
    <row r="61" spans="2:30" x14ac:dyDescent="0.2">
      <c r="B61" s="1" t="s">
        <v>561</v>
      </c>
      <c r="E61" s="64">
        <v>0</v>
      </c>
      <c r="F61" s="64">
        <v>0</v>
      </c>
      <c r="G61" s="243">
        <v>1.5960000000000001</v>
      </c>
      <c r="H61" s="64">
        <f>SUM(W61:Z61)</f>
        <v>4.91</v>
      </c>
      <c r="I61" s="64">
        <f>SUM(AA61:AD61)</f>
        <v>0</v>
      </c>
      <c r="J61" s="64">
        <v>0</v>
      </c>
      <c r="K61" s="64">
        <v>0</v>
      </c>
      <c r="L61" s="64">
        <v>0</v>
      </c>
      <c r="M61" s="64">
        <v>0</v>
      </c>
      <c r="N61" s="64"/>
      <c r="O61" s="380"/>
      <c r="P61" s="380"/>
      <c r="Q61" s="380"/>
      <c r="R61" s="381"/>
      <c r="S61" s="81">
        <f>-5.475</f>
        <v>-5.4749999999999996</v>
      </c>
      <c r="T61" s="81">
        <v>4.5960000000000001</v>
      </c>
      <c r="U61" s="81">
        <v>2.79</v>
      </c>
      <c r="V61" s="291">
        <f>G61-SUM(S61:U61)</f>
        <v>-0.31500000000000039</v>
      </c>
      <c r="W61" s="81">
        <v>2.0089999999999999</v>
      </c>
      <c r="X61" s="81">
        <v>2.9009999999999998</v>
      </c>
      <c r="Y61" s="64">
        <v>0</v>
      </c>
      <c r="Z61" s="243">
        <v>0</v>
      </c>
      <c r="AA61" s="81">
        <v>0</v>
      </c>
      <c r="AB61" s="81">
        <v>0</v>
      </c>
      <c r="AC61" s="64">
        <v>0</v>
      </c>
      <c r="AD61" s="188">
        <v>0</v>
      </c>
    </row>
    <row r="62" spans="2:30" x14ac:dyDescent="0.2">
      <c r="B62" s="1" t="s">
        <v>562</v>
      </c>
      <c r="E62" s="64">
        <v>-5.4560000000000004</v>
      </c>
      <c r="F62" s="64">
        <v>-7.327</v>
      </c>
      <c r="G62" s="243">
        <v>-0.45600000000000002</v>
      </c>
      <c r="H62" s="64">
        <f>SUM(W62:Z62)</f>
        <v>-1.161</v>
      </c>
      <c r="I62" s="64">
        <f>SUM(AA62:AD62)</f>
        <v>0</v>
      </c>
      <c r="J62" s="64">
        <f>J61*(-'DCF - 5 Year'!$C$7)</f>
        <v>0</v>
      </c>
      <c r="K62" s="64">
        <f>K61*(-'DCF - 5 Year'!$C$7)</f>
        <v>0</v>
      </c>
      <c r="L62" s="64">
        <f>L61*(-'DCF - 5 Year'!$C$7)</f>
        <v>0</v>
      </c>
      <c r="M62" s="64">
        <f>M61*(-'DCF - 5 Year'!$C$7)</f>
        <v>0</v>
      </c>
      <c r="N62" s="64"/>
      <c r="O62" s="380"/>
      <c r="P62" s="380"/>
      <c r="Q62" s="380"/>
      <c r="R62" s="381"/>
      <c r="S62" s="81">
        <v>1.1339999999999999</v>
      </c>
      <c r="T62" s="81">
        <v>-0.94199999999999995</v>
      </c>
      <c r="U62" s="81">
        <v>-0.66800000000000004</v>
      </c>
      <c r="V62" s="291">
        <f>G62-SUM(S62:U62)</f>
        <v>2.0000000000000073E-2</v>
      </c>
      <c r="W62" s="81">
        <v>-0.47499999999999998</v>
      </c>
      <c r="X62" s="81">
        <v>-0.68600000000000005</v>
      </c>
      <c r="Y62" s="64">
        <f>Y61*(-'DCF - 5 Year'!$C$7)</f>
        <v>0</v>
      </c>
      <c r="Z62" s="243">
        <f>Z61*(-'DCF - 5 Year'!$C$7)</f>
        <v>0</v>
      </c>
      <c r="AA62" s="81">
        <f>AA61*(-'DCF - 5 Year'!$C$7)</f>
        <v>0</v>
      </c>
      <c r="AB62" s="81">
        <f>AB61*(-'DCF - 5 Year'!$C$7)</f>
        <v>0</v>
      </c>
      <c r="AC62" s="64">
        <f>AC61*(-'DCF - 5 Year'!$C$7)</f>
        <v>0</v>
      </c>
      <c r="AD62" s="188">
        <f>AD61*(-'DCF - 5 Year'!$C$7)</f>
        <v>0</v>
      </c>
    </row>
    <row r="63" spans="2:30" x14ac:dyDescent="0.2">
      <c r="B63" s="13" t="s">
        <v>563</v>
      </c>
      <c r="E63" s="183">
        <f t="shared" ref="E63:M63" si="71">SUM(E60:E62)</f>
        <v>19.687000000000005</v>
      </c>
      <c r="F63" s="183">
        <f t="shared" si="71"/>
        <v>26.439000000000014</v>
      </c>
      <c r="G63" s="310">
        <f t="shared" si="71"/>
        <v>3.4879999999999853</v>
      </c>
      <c r="H63" s="183">
        <f t="shared" ca="1" si="71"/>
        <v>17.699314065715814</v>
      </c>
      <c r="I63" s="183">
        <f t="shared" ca="1" si="71"/>
        <v>46.479616002603571</v>
      </c>
      <c r="J63" s="183">
        <f t="shared" ca="1" si="71"/>
        <v>76.001652560410221</v>
      </c>
      <c r="K63" s="183">
        <f t="shared" ca="1" si="71"/>
        <v>103.99645439146884</v>
      </c>
      <c r="L63" s="183">
        <f t="shared" ca="1" si="71"/>
        <v>130.10494408268761</v>
      </c>
      <c r="M63" s="183">
        <f t="shared" ca="1" si="71"/>
        <v>153.95503930047198</v>
      </c>
      <c r="N63" s="64"/>
      <c r="O63" s="380"/>
      <c r="P63" s="380"/>
      <c r="Q63" s="380"/>
      <c r="R63" s="381"/>
      <c r="S63" s="183">
        <f>SUM(S60:S62)</f>
        <v>-7.1999999999999993</v>
      </c>
      <c r="T63" s="183">
        <f>SUM(T60:T62)</f>
        <v>8.2120000000000033</v>
      </c>
      <c r="U63" s="183">
        <f>SUM(U60:U62)</f>
        <v>4.6080000000000059</v>
      </c>
      <c r="V63" s="310">
        <f>G63-SUM(S63:U63)</f>
        <v>-2.1320000000000245</v>
      </c>
      <c r="W63" s="183">
        <f t="shared" ref="W63:AD63" si="72">SUM(W60:W62)</f>
        <v>4.1740000000000013</v>
      </c>
      <c r="X63" s="183">
        <f t="shared" si="72"/>
        <v>6.6169999999999964</v>
      </c>
      <c r="Y63" s="183">
        <f t="shared" ca="1" si="72"/>
        <v>6.3243745545873615</v>
      </c>
      <c r="Z63" s="310">
        <f t="shared" ca="1" si="72"/>
        <v>0.58393951112845688</v>
      </c>
      <c r="AA63" s="382">
        <f t="shared" ca="1" si="72"/>
        <v>9.9888578875089031</v>
      </c>
      <c r="AB63" s="183">
        <f t="shared" ca="1" si="72"/>
        <v>10.866566492890817</v>
      </c>
      <c r="AC63" s="183">
        <f t="shared" ca="1" si="72"/>
        <v>17.477001018773926</v>
      </c>
      <c r="AD63" s="183">
        <f t="shared" ca="1" si="72"/>
        <v>8.1471906034299284</v>
      </c>
    </row>
    <row r="64" spans="2:30" x14ac:dyDescent="0.2">
      <c r="E64" s="64"/>
      <c r="F64" s="64"/>
      <c r="G64" s="243"/>
      <c r="H64" s="64"/>
      <c r="I64" s="64"/>
      <c r="J64" s="64"/>
      <c r="K64" s="64"/>
      <c r="L64" s="64"/>
      <c r="M64" s="64"/>
      <c r="N64" s="64"/>
      <c r="O64" s="380"/>
      <c r="P64" s="380"/>
      <c r="Q64" s="380"/>
      <c r="R64" s="381"/>
      <c r="S64" s="64"/>
      <c r="T64" s="64"/>
      <c r="U64" s="64"/>
      <c r="V64" s="243"/>
      <c r="W64" s="64"/>
      <c r="X64" s="64"/>
      <c r="Y64" s="64"/>
      <c r="Z64" s="243"/>
      <c r="AA64" s="64"/>
      <c r="AB64" s="64"/>
      <c r="AC64" s="64"/>
      <c r="AD64" s="188"/>
    </row>
    <row r="65" spans="2:30" x14ac:dyDescent="0.2">
      <c r="B65" s="1" t="s">
        <v>564</v>
      </c>
      <c r="E65" s="64">
        <f>E46</f>
        <v>7.984</v>
      </c>
      <c r="F65" s="64">
        <f>F46</f>
        <v>7.9850000000000003</v>
      </c>
      <c r="G65" s="243">
        <f>G46</f>
        <v>8.3520000000000003</v>
      </c>
      <c r="H65" s="64">
        <f t="shared" ref="H65:H73" si="73">SUM(W65:Z65)</f>
        <v>8.6589999999999989</v>
      </c>
      <c r="I65" s="64">
        <f t="shared" ref="I65:I73" si="74">SUM(AA65:AD65)</f>
        <v>7.9180000000000001</v>
      </c>
      <c r="J65" s="64">
        <f t="shared" ref="J65:M72" si="75">J46</f>
        <v>7.585</v>
      </c>
      <c r="K65" s="64">
        <f t="shared" si="75"/>
        <v>7.585</v>
      </c>
      <c r="L65" s="64">
        <f t="shared" si="75"/>
        <v>7.585</v>
      </c>
      <c r="M65" s="64">
        <f t="shared" si="75"/>
        <v>7.585</v>
      </c>
      <c r="N65" s="64"/>
      <c r="O65" s="380"/>
      <c r="P65" s="380"/>
      <c r="Q65" s="380"/>
      <c r="R65" s="381"/>
      <c r="S65" s="64">
        <f>S46</f>
        <v>1.996</v>
      </c>
      <c r="T65" s="64">
        <f>T46</f>
        <v>1.996</v>
      </c>
      <c r="U65" s="64">
        <f>U46</f>
        <v>2.0880000000000001</v>
      </c>
      <c r="V65" s="243">
        <f t="shared" ref="V65:V74" si="76">G65-SUM(S65:U65)</f>
        <v>2.2720000000000002</v>
      </c>
      <c r="W65" s="64">
        <f t="shared" ref="W65:AD72" si="77">W46</f>
        <v>2.27</v>
      </c>
      <c r="X65" s="64">
        <f t="shared" si="77"/>
        <v>2.238</v>
      </c>
      <c r="Y65" s="64">
        <f t="shared" si="77"/>
        <v>2.0754999999999999</v>
      </c>
      <c r="Z65" s="243">
        <f t="shared" si="77"/>
        <v>2.0754999999999999</v>
      </c>
      <c r="AA65" s="64">
        <f t="shared" si="77"/>
        <v>1.9795</v>
      </c>
      <c r="AB65" s="64">
        <f t="shared" si="77"/>
        <v>1.9795</v>
      </c>
      <c r="AC65" s="64">
        <f t="shared" si="77"/>
        <v>1.9795</v>
      </c>
      <c r="AD65" s="188">
        <f t="shared" si="77"/>
        <v>1.9795</v>
      </c>
    </row>
    <row r="66" spans="2:30" x14ac:dyDescent="0.2">
      <c r="B66" s="1" t="s">
        <v>565</v>
      </c>
      <c r="E66" s="64">
        <f>E47</f>
        <v>3.7999999999999999E-2</v>
      </c>
      <c r="F66" s="64">
        <f>F47</f>
        <v>0.35099999999999998</v>
      </c>
      <c r="G66" s="322">
        <v>1.23</v>
      </c>
      <c r="H66" s="64">
        <f t="shared" si="73"/>
        <v>0.68400000000000005</v>
      </c>
      <c r="I66" s="64">
        <f t="shared" si="74"/>
        <v>0</v>
      </c>
      <c r="J66" s="64">
        <f t="shared" si="75"/>
        <v>0</v>
      </c>
      <c r="K66" s="64">
        <f t="shared" si="75"/>
        <v>0</v>
      </c>
      <c r="L66" s="64">
        <f t="shared" si="75"/>
        <v>0</v>
      </c>
      <c r="M66" s="64">
        <f t="shared" si="75"/>
        <v>0</v>
      </c>
      <c r="N66" s="64"/>
      <c r="O66" s="380"/>
      <c r="P66" s="380"/>
      <c r="Q66" s="380"/>
      <c r="R66" s="381"/>
      <c r="S66" s="64">
        <v>0.37</v>
      </c>
      <c r="T66" s="64">
        <v>0.30499999999999999</v>
      </c>
      <c r="U66" s="64">
        <v>0.27800000000000002</v>
      </c>
      <c r="V66" s="243">
        <f t="shared" si="76"/>
        <v>0.27699999999999991</v>
      </c>
      <c r="W66" s="64">
        <f t="shared" si="77"/>
        <v>0.27600000000000002</v>
      </c>
      <c r="X66" s="64">
        <f t="shared" si="77"/>
        <v>0.40800000000000003</v>
      </c>
      <c r="Y66" s="64">
        <f t="shared" si="77"/>
        <v>0</v>
      </c>
      <c r="Z66" s="243">
        <f t="shared" si="77"/>
        <v>0</v>
      </c>
      <c r="AA66" s="64">
        <f t="shared" si="77"/>
        <v>0</v>
      </c>
      <c r="AB66" s="64">
        <f t="shared" si="77"/>
        <v>0</v>
      </c>
      <c r="AC66" s="64">
        <f t="shared" si="77"/>
        <v>0</v>
      </c>
      <c r="AD66" s="188">
        <f t="shared" si="77"/>
        <v>0</v>
      </c>
    </row>
    <row r="67" spans="2:30" x14ac:dyDescent="0.2">
      <c r="B67" s="1" t="s">
        <v>265</v>
      </c>
      <c r="E67" s="64">
        <v>0</v>
      </c>
      <c r="F67" s="64">
        <v>0</v>
      </c>
      <c r="G67" s="243">
        <f t="shared" ref="G67:G72" si="78">G48</f>
        <v>1.663</v>
      </c>
      <c r="H67" s="64">
        <f t="shared" si="73"/>
        <v>0</v>
      </c>
      <c r="I67" s="64">
        <f t="shared" si="74"/>
        <v>0</v>
      </c>
      <c r="J67" s="64">
        <f t="shared" si="75"/>
        <v>0</v>
      </c>
      <c r="K67" s="64">
        <f t="shared" si="75"/>
        <v>0</v>
      </c>
      <c r="L67" s="64">
        <f t="shared" si="75"/>
        <v>0</v>
      </c>
      <c r="M67" s="64">
        <f t="shared" si="75"/>
        <v>0</v>
      </c>
      <c r="N67" s="64"/>
      <c r="O67" s="380"/>
      <c r="P67" s="380"/>
      <c r="Q67" s="380"/>
      <c r="R67" s="381"/>
      <c r="S67" s="64">
        <v>0</v>
      </c>
      <c r="T67" s="64">
        <v>1.6639999999999999</v>
      </c>
      <c r="U67" s="64">
        <v>2.0139999999999998</v>
      </c>
      <c r="V67" s="243">
        <f t="shared" si="76"/>
        <v>-2.0149999999999997</v>
      </c>
      <c r="W67" s="64">
        <f t="shared" si="77"/>
        <v>0</v>
      </c>
      <c r="X67" s="64">
        <f t="shared" si="77"/>
        <v>0</v>
      </c>
      <c r="Y67" s="64">
        <f t="shared" si="77"/>
        <v>0</v>
      </c>
      <c r="Z67" s="243">
        <f t="shared" si="77"/>
        <v>0</v>
      </c>
      <c r="AA67" s="64">
        <f t="shared" si="77"/>
        <v>0</v>
      </c>
      <c r="AB67" s="64">
        <f t="shared" si="77"/>
        <v>0</v>
      </c>
      <c r="AC67" s="64">
        <f t="shared" si="77"/>
        <v>0</v>
      </c>
      <c r="AD67" s="188">
        <f t="shared" si="77"/>
        <v>0</v>
      </c>
    </row>
    <row r="68" spans="2:30" x14ac:dyDescent="0.2">
      <c r="B68" s="1" t="s">
        <v>127</v>
      </c>
      <c r="E68" s="64">
        <v>0</v>
      </c>
      <c r="F68" s="64">
        <v>0</v>
      </c>
      <c r="G68" s="243">
        <f t="shared" si="78"/>
        <v>15.99</v>
      </c>
      <c r="H68" s="64">
        <f t="shared" si="73"/>
        <v>0</v>
      </c>
      <c r="I68" s="64">
        <f t="shared" si="74"/>
        <v>0</v>
      </c>
      <c r="J68" s="64">
        <f t="shared" si="75"/>
        <v>0</v>
      </c>
      <c r="K68" s="64">
        <f t="shared" si="75"/>
        <v>0</v>
      </c>
      <c r="L68" s="64">
        <f t="shared" si="75"/>
        <v>0</v>
      </c>
      <c r="M68" s="64">
        <f t="shared" si="75"/>
        <v>0</v>
      </c>
      <c r="N68" s="64"/>
      <c r="O68" s="380"/>
      <c r="P68" s="380"/>
      <c r="Q68" s="380"/>
      <c r="R68" s="381"/>
      <c r="S68" s="64">
        <f t="shared" ref="S68:U72" si="79">S49</f>
        <v>15.99</v>
      </c>
      <c r="T68" s="64">
        <f t="shared" si="79"/>
        <v>0</v>
      </c>
      <c r="U68" s="64">
        <f t="shared" si="79"/>
        <v>0</v>
      </c>
      <c r="V68" s="243">
        <f t="shared" si="76"/>
        <v>0</v>
      </c>
      <c r="W68" s="64">
        <f t="shared" si="77"/>
        <v>0</v>
      </c>
      <c r="X68" s="64">
        <f t="shared" si="77"/>
        <v>0</v>
      </c>
      <c r="Y68" s="64">
        <f t="shared" si="77"/>
        <v>0</v>
      </c>
      <c r="Z68" s="243">
        <f t="shared" si="77"/>
        <v>0</v>
      </c>
      <c r="AA68" s="64">
        <f t="shared" si="77"/>
        <v>0</v>
      </c>
      <c r="AB68" s="64">
        <f t="shared" si="77"/>
        <v>0</v>
      </c>
      <c r="AC68" s="64">
        <f t="shared" si="77"/>
        <v>0</v>
      </c>
      <c r="AD68" s="188">
        <f t="shared" si="77"/>
        <v>0</v>
      </c>
    </row>
    <row r="69" spans="2:30" x14ac:dyDescent="0.2">
      <c r="B69" s="1" t="s">
        <v>210</v>
      </c>
      <c r="E69" s="64">
        <v>0</v>
      </c>
      <c r="F69" s="64">
        <f>F50</f>
        <v>8.2509999999999994</v>
      </c>
      <c r="G69" s="243">
        <f t="shared" si="78"/>
        <v>11.286</v>
      </c>
      <c r="H69" s="64">
        <f t="shared" si="73"/>
        <v>16.840948251462784</v>
      </c>
      <c r="I69" s="64">
        <f t="shared" si="74"/>
        <v>25.990553228330384</v>
      </c>
      <c r="J69" s="64">
        <f t="shared" si="75"/>
        <v>25.990553228330384</v>
      </c>
      <c r="K69" s="64">
        <f t="shared" si="75"/>
        <v>25.990553228330384</v>
      </c>
      <c r="L69" s="64">
        <f t="shared" si="75"/>
        <v>25.990553228330384</v>
      </c>
      <c r="M69" s="64">
        <f t="shared" si="75"/>
        <v>25.990553228330384</v>
      </c>
      <c r="N69" s="64"/>
      <c r="O69" s="380"/>
      <c r="P69" s="380"/>
      <c r="Q69" s="380"/>
      <c r="R69" s="381"/>
      <c r="S69" s="64">
        <f t="shared" si="79"/>
        <v>1.3919999999999999</v>
      </c>
      <c r="T69" s="64">
        <f t="shared" si="79"/>
        <v>2.78</v>
      </c>
      <c r="U69" s="64">
        <f t="shared" si="79"/>
        <v>2.7320000000000002</v>
      </c>
      <c r="V69" s="243">
        <f t="shared" si="76"/>
        <v>4.3819999999999997</v>
      </c>
      <c r="W69" s="64">
        <f t="shared" si="77"/>
        <v>3.831</v>
      </c>
      <c r="X69" s="64">
        <f t="shared" si="77"/>
        <v>4.0629999999999997</v>
      </c>
      <c r="Y69" s="64">
        <f t="shared" si="77"/>
        <v>4.9625102735065996</v>
      </c>
      <c r="Z69" s="243">
        <f t="shared" si="77"/>
        <v>3.9844379779561838</v>
      </c>
      <c r="AA69" s="64">
        <f t="shared" si="77"/>
        <v>5.8251334385630695</v>
      </c>
      <c r="AB69" s="64">
        <f t="shared" si="77"/>
        <v>6.2976499999999991</v>
      </c>
      <c r="AC69" s="64">
        <f t="shared" si="77"/>
        <v>7.6918909239352296</v>
      </c>
      <c r="AD69" s="188">
        <f t="shared" si="77"/>
        <v>6.1758788658320851</v>
      </c>
    </row>
    <row r="70" spans="2:30" x14ac:dyDescent="0.2">
      <c r="B70" s="1" t="s">
        <v>566</v>
      </c>
      <c r="E70" s="64">
        <v>0</v>
      </c>
      <c r="F70" s="64">
        <v>0</v>
      </c>
      <c r="G70" s="243">
        <f t="shared" si="78"/>
        <v>2.3490000000000002</v>
      </c>
      <c r="H70" s="64">
        <f t="shared" si="73"/>
        <v>1.2E-2</v>
      </c>
      <c r="I70" s="64">
        <f t="shared" si="74"/>
        <v>0</v>
      </c>
      <c r="J70" s="64">
        <f t="shared" si="75"/>
        <v>0</v>
      </c>
      <c r="K70" s="64">
        <f t="shared" si="75"/>
        <v>0</v>
      </c>
      <c r="L70" s="64">
        <f t="shared" si="75"/>
        <v>0</v>
      </c>
      <c r="M70" s="64">
        <f t="shared" si="75"/>
        <v>0</v>
      </c>
      <c r="N70" s="64"/>
      <c r="O70" s="380"/>
      <c r="P70" s="380"/>
      <c r="Q70" s="380"/>
      <c r="R70" s="381"/>
      <c r="S70" s="64">
        <f t="shared" si="79"/>
        <v>0</v>
      </c>
      <c r="T70" s="64">
        <f t="shared" si="79"/>
        <v>0</v>
      </c>
      <c r="U70" s="64">
        <f t="shared" si="79"/>
        <v>1.6970000000000001</v>
      </c>
      <c r="V70" s="243">
        <f t="shared" si="76"/>
        <v>0.65200000000000014</v>
      </c>
      <c r="W70" s="64">
        <f t="shared" si="77"/>
        <v>0</v>
      </c>
      <c r="X70" s="64">
        <f t="shared" si="77"/>
        <v>1.2E-2</v>
      </c>
      <c r="Y70" s="64">
        <f t="shared" si="77"/>
        <v>0</v>
      </c>
      <c r="Z70" s="243">
        <f t="shared" si="77"/>
        <v>0</v>
      </c>
      <c r="AA70" s="64">
        <f t="shared" si="77"/>
        <v>0</v>
      </c>
      <c r="AB70" s="64">
        <f t="shared" si="77"/>
        <v>0</v>
      </c>
      <c r="AC70" s="64">
        <f t="shared" si="77"/>
        <v>0</v>
      </c>
      <c r="AD70" s="188">
        <f t="shared" si="77"/>
        <v>0</v>
      </c>
    </row>
    <row r="71" spans="2:30" x14ac:dyDescent="0.2">
      <c r="B71" s="1" t="s">
        <v>567</v>
      </c>
      <c r="E71" s="64">
        <f>E52</f>
        <v>0</v>
      </c>
      <c r="F71" s="64">
        <f>F52</f>
        <v>2.89</v>
      </c>
      <c r="G71" s="243">
        <f t="shared" si="78"/>
        <v>0.33900000000000002</v>
      </c>
      <c r="H71" s="64">
        <f t="shared" si="73"/>
        <v>0</v>
      </c>
      <c r="I71" s="64">
        <f t="shared" si="74"/>
        <v>0</v>
      </c>
      <c r="J71" s="64">
        <f t="shared" si="75"/>
        <v>0</v>
      </c>
      <c r="K71" s="64">
        <f t="shared" si="75"/>
        <v>0</v>
      </c>
      <c r="L71" s="64">
        <f t="shared" si="75"/>
        <v>0</v>
      </c>
      <c r="M71" s="64">
        <f t="shared" si="75"/>
        <v>0</v>
      </c>
      <c r="N71" s="64"/>
      <c r="O71" s="380"/>
      <c r="P71" s="380"/>
      <c r="Q71" s="380"/>
      <c r="R71" s="381"/>
      <c r="S71" s="64">
        <f t="shared" si="79"/>
        <v>5.5E-2</v>
      </c>
      <c r="T71" s="64">
        <f t="shared" si="79"/>
        <v>0.106</v>
      </c>
      <c r="U71" s="64">
        <f t="shared" si="79"/>
        <v>0.108</v>
      </c>
      <c r="V71" s="243">
        <f t="shared" si="76"/>
        <v>7.0000000000000007E-2</v>
      </c>
      <c r="W71" s="64">
        <f t="shared" si="77"/>
        <v>0</v>
      </c>
      <c r="X71" s="64">
        <f t="shared" si="77"/>
        <v>0</v>
      </c>
      <c r="Y71" s="64">
        <f t="shared" si="77"/>
        <v>0</v>
      </c>
      <c r="Z71" s="243">
        <f t="shared" si="77"/>
        <v>0</v>
      </c>
      <c r="AA71" s="64">
        <f t="shared" si="77"/>
        <v>0</v>
      </c>
      <c r="AB71" s="64">
        <f t="shared" si="77"/>
        <v>0</v>
      </c>
      <c r="AC71" s="64">
        <f t="shared" si="77"/>
        <v>0</v>
      </c>
      <c r="AD71" s="188">
        <f t="shared" si="77"/>
        <v>0</v>
      </c>
    </row>
    <row r="72" spans="2:30" x14ac:dyDescent="0.2">
      <c r="B72" s="1" t="s">
        <v>568</v>
      </c>
      <c r="E72" s="64">
        <f>E53</f>
        <v>0.68600000000000005</v>
      </c>
      <c r="F72" s="64">
        <f>F53</f>
        <v>3.077</v>
      </c>
      <c r="G72" s="243">
        <f t="shared" si="78"/>
        <v>2.5979999999999999</v>
      </c>
      <c r="H72" s="64">
        <f t="shared" si="73"/>
        <v>0</v>
      </c>
      <c r="I72" s="64">
        <f t="shared" si="74"/>
        <v>0</v>
      </c>
      <c r="J72" s="64">
        <f t="shared" si="75"/>
        <v>0</v>
      </c>
      <c r="K72" s="64">
        <f t="shared" si="75"/>
        <v>0</v>
      </c>
      <c r="L72" s="64">
        <f t="shared" si="75"/>
        <v>0</v>
      </c>
      <c r="M72" s="64">
        <f t="shared" si="75"/>
        <v>0</v>
      </c>
      <c r="N72" s="64"/>
      <c r="O72" s="380"/>
      <c r="P72" s="380"/>
      <c r="Q72" s="380"/>
      <c r="R72" s="381"/>
      <c r="S72" s="64">
        <f t="shared" si="79"/>
        <v>0.33900000000000002</v>
      </c>
      <c r="T72" s="64">
        <f t="shared" si="79"/>
        <v>1.2390000000000001</v>
      </c>
      <c r="U72" s="64">
        <f t="shared" si="79"/>
        <v>0.24299999999999999</v>
      </c>
      <c r="V72" s="243">
        <f t="shared" si="76"/>
        <v>0.77699999999999969</v>
      </c>
      <c r="W72" s="64">
        <f t="shared" si="77"/>
        <v>0</v>
      </c>
      <c r="X72" s="64">
        <f t="shared" si="77"/>
        <v>0</v>
      </c>
      <c r="Y72" s="64">
        <f t="shared" si="77"/>
        <v>0</v>
      </c>
      <c r="Z72" s="243">
        <f t="shared" si="77"/>
        <v>0</v>
      </c>
      <c r="AA72" s="64">
        <f t="shared" si="77"/>
        <v>0</v>
      </c>
      <c r="AB72" s="64">
        <f t="shared" si="77"/>
        <v>0</v>
      </c>
      <c r="AC72" s="64">
        <f t="shared" si="77"/>
        <v>0</v>
      </c>
      <c r="AD72" s="188">
        <f t="shared" si="77"/>
        <v>0</v>
      </c>
    </row>
    <row r="73" spans="2:30" x14ac:dyDescent="0.2">
      <c r="B73" s="1" t="s">
        <v>569</v>
      </c>
      <c r="E73" s="64">
        <v>-1.8089999999999999</v>
      </c>
      <c r="F73" s="64">
        <v>-3.1040000000000001</v>
      </c>
      <c r="G73" s="243">
        <v>-11.381</v>
      </c>
      <c r="H73" s="64">
        <f t="shared" si="73"/>
        <v>-5.8465691328071845</v>
      </c>
      <c r="I73" s="64">
        <f t="shared" si="74"/>
        <v>-7.12079617794938</v>
      </c>
      <c r="J73" s="64">
        <f>SUM(J65:J72)*(-'DCF - 5 Year'!$C$7)</f>
        <v>-7.0508661779493806</v>
      </c>
      <c r="K73" s="64">
        <f>SUM(K65:K72)*(-'DCF - 5 Year'!$C$7)</f>
        <v>-7.0508661779493806</v>
      </c>
      <c r="L73" s="64">
        <f>SUM(L65:L72)*(-'DCF - 5 Year'!$C$7)</f>
        <v>-7.0508661779493806</v>
      </c>
      <c r="M73" s="64">
        <f>SUM(M65:M72)*(-'DCF - 5 Year'!$C$7)</f>
        <v>-7.0508661779493806</v>
      </c>
      <c r="N73" s="64"/>
      <c r="O73" s="380"/>
      <c r="P73" s="380"/>
      <c r="Q73" s="380"/>
      <c r="R73" s="381"/>
      <c r="S73" s="81">
        <v>-4.1710000000000003</v>
      </c>
      <c r="T73" s="81">
        <v>-1.635</v>
      </c>
      <c r="U73" s="81">
        <v>-2.1659999999999999</v>
      </c>
      <c r="V73" s="291">
        <f t="shared" si="76"/>
        <v>-3.4090000000000007</v>
      </c>
      <c r="W73" s="81">
        <v>-1.508</v>
      </c>
      <c r="X73" s="81">
        <v>-1.5880000000000001</v>
      </c>
      <c r="Y73" s="64">
        <f>SUM(Y65:Y72)*(-'DCF - 5 Year'!$C$7)</f>
        <v>-1.4779821574363858</v>
      </c>
      <c r="Z73" s="243">
        <f>SUM(Z65:Z72)*(-'DCF - 5 Year'!$C$7)</f>
        <v>-1.2725869753707983</v>
      </c>
      <c r="AA73" s="81">
        <f>SUM(AA65:AA72)*(-'DCF - 5 Year'!$C$7)</f>
        <v>-1.6389730220982446</v>
      </c>
      <c r="AB73" s="81">
        <f>SUM(AB65:AB72)*(-'DCF - 5 Year'!$C$7)</f>
        <v>-1.7382014999999997</v>
      </c>
      <c r="AC73" s="64">
        <f>SUM(AC65:AC72)*(-'DCF - 5 Year'!$C$7)</f>
        <v>-2.0309920940263981</v>
      </c>
      <c r="AD73" s="188">
        <f>SUM(AD65:AD72)*(-'DCF - 5 Year'!$C$7)</f>
        <v>-1.712629561824738</v>
      </c>
    </row>
    <row r="74" spans="2:30" x14ac:dyDescent="0.2">
      <c r="B74" s="13" t="s">
        <v>570</v>
      </c>
      <c r="E74" s="183">
        <f t="shared" ref="E74:M74" si="80">SUM(E63:E73)</f>
        <v>26.586000000000006</v>
      </c>
      <c r="F74" s="183">
        <f t="shared" si="80"/>
        <v>45.88900000000001</v>
      </c>
      <c r="G74" s="310">
        <f t="shared" si="80"/>
        <v>35.913999999999987</v>
      </c>
      <c r="H74" s="183">
        <f t="shared" ca="1" si="80"/>
        <v>38.048693184371416</v>
      </c>
      <c r="I74" s="183">
        <f t="shared" ca="1" si="80"/>
        <v>73.267373052984567</v>
      </c>
      <c r="J74" s="183">
        <f t="shared" ca="1" si="80"/>
        <v>102.52633961079121</v>
      </c>
      <c r="K74" s="183">
        <f t="shared" ca="1" si="80"/>
        <v>130.52114144184984</v>
      </c>
      <c r="L74" s="183">
        <f t="shared" ca="1" si="80"/>
        <v>156.62963113306861</v>
      </c>
      <c r="M74" s="183">
        <f t="shared" ca="1" si="80"/>
        <v>180.47972635085299</v>
      </c>
      <c r="N74" s="64"/>
      <c r="O74" s="380"/>
      <c r="P74" s="380"/>
      <c r="Q74" s="380"/>
      <c r="R74" s="381"/>
      <c r="S74" s="183">
        <f>SUM(S63:S73)</f>
        <v>8.7710000000000008</v>
      </c>
      <c r="T74" s="183">
        <f>SUM(T63:T73)</f>
        <v>14.667000000000003</v>
      </c>
      <c r="U74" s="183">
        <f>SUM(U63:U73)</f>
        <v>11.602000000000006</v>
      </c>
      <c r="V74" s="310">
        <f t="shared" si="76"/>
        <v>0.87399999999998101</v>
      </c>
      <c r="W74" s="183">
        <f t="shared" ref="W74:AD74" si="81">SUM(W63:W73)</f>
        <v>9.0429999999999993</v>
      </c>
      <c r="X74" s="183">
        <f t="shared" si="81"/>
        <v>11.749999999999996</v>
      </c>
      <c r="Y74" s="183">
        <f t="shared" ca="1" si="81"/>
        <v>11.884402670657575</v>
      </c>
      <c r="Z74" s="310">
        <f t="shared" ca="1" si="81"/>
        <v>5.3712905137138431</v>
      </c>
      <c r="AA74" s="382">
        <f t="shared" ca="1" si="81"/>
        <v>16.154518303973727</v>
      </c>
      <c r="AB74" s="183">
        <f t="shared" ca="1" si="81"/>
        <v>17.405514992890819</v>
      </c>
      <c r="AC74" s="183">
        <f t="shared" ca="1" si="81"/>
        <v>25.117399848682759</v>
      </c>
      <c r="AD74" s="183">
        <f t="shared" ca="1" si="81"/>
        <v>14.589939907437277</v>
      </c>
    </row>
    <row r="75" spans="2:30" x14ac:dyDescent="0.2">
      <c r="X75" s="80"/>
    </row>
    <row r="77" spans="2:30" x14ac:dyDescent="0.2">
      <c r="B77" s="195" t="s">
        <v>103</v>
      </c>
      <c r="C77" s="195"/>
      <c r="E77" s="196">
        <f>E74</f>
        <v>26.586000000000006</v>
      </c>
      <c r="F77" s="196">
        <f t="shared" ref="F77:M77" si="82">F74</f>
        <v>45.88900000000001</v>
      </c>
      <c r="G77" s="313">
        <f t="shared" si="82"/>
        <v>35.913999999999987</v>
      </c>
      <c r="H77" s="196">
        <f t="shared" ca="1" si="82"/>
        <v>38.048693184371416</v>
      </c>
      <c r="I77" s="196">
        <f t="shared" ca="1" si="82"/>
        <v>73.267373052984567</v>
      </c>
      <c r="J77" s="196">
        <f t="shared" ca="1" si="82"/>
        <v>102.52633961079121</v>
      </c>
      <c r="K77" s="196">
        <f t="shared" ca="1" si="82"/>
        <v>130.52114144184984</v>
      </c>
      <c r="L77" s="196">
        <f t="shared" ca="1" si="82"/>
        <v>156.62963113306861</v>
      </c>
      <c r="M77" s="196">
        <f t="shared" ca="1" si="82"/>
        <v>180.47972635085299</v>
      </c>
      <c r="O77" s="196">
        <f t="shared" ref="O77:AD77" si="83">SUM(O46:O53)+O56</f>
        <v>11.473000000000003</v>
      </c>
      <c r="P77" s="196">
        <f t="shared" si="83"/>
        <v>14.841000000000001</v>
      </c>
      <c r="Q77" s="196">
        <f t="shared" si="83"/>
        <v>19.379000000000001</v>
      </c>
      <c r="R77" s="313">
        <f t="shared" si="83"/>
        <v>13.081000000000028</v>
      </c>
      <c r="S77" s="196">
        <f t="shared" si="83"/>
        <v>16.547999999999998</v>
      </c>
      <c r="T77" s="196">
        <f t="shared" si="83"/>
        <v>17.244000000000003</v>
      </c>
      <c r="U77" s="196">
        <f t="shared" si="83"/>
        <v>14.435000000000006</v>
      </c>
      <c r="V77" s="313">
        <f t="shared" si="83"/>
        <v>4.2629999999999768</v>
      </c>
      <c r="W77" s="196">
        <f t="shared" si="83"/>
        <v>11.026000000000002</v>
      </c>
      <c r="X77" s="196">
        <f t="shared" si="83"/>
        <v>14.023999999999996</v>
      </c>
      <c r="Y77" s="196">
        <f t="shared" ca="1" si="83"/>
        <v>16.263384828093962</v>
      </c>
      <c r="Z77" s="313">
        <f t="shared" ca="1" si="83"/>
        <v>9.5448774890846408</v>
      </c>
      <c r="AA77" s="196">
        <f t="shared" ca="1" si="83"/>
        <v>20.694491326071972</v>
      </c>
      <c r="AB77" s="196">
        <f t="shared" ca="1" si="83"/>
        <v>22.044716492890814</v>
      </c>
      <c r="AC77" s="196">
        <f t="shared" ca="1" si="83"/>
        <v>30.049391942709157</v>
      </c>
      <c r="AD77" s="196">
        <f t="shared" ca="1" si="83"/>
        <v>19.203569469262014</v>
      </c>
    </row>
    <row r="78" spans="2:30" x14ac:dyDescent="0.2">
      <c r="B78" s="197" t="s">
        <v>99</v>
      </c>
      <c r="C78" s="195"/>
      <c r="E78" s="198">
        <f t="shared" ref="E78:M78" si="84">IFERROR(E77/E$9,"N/A")</f>
        <v>0.18399125235300634</v>
      </c>
      <c r="F78" s="198">
        <f t="shared" si="84"/>
        <v>0.26144896819699409</v>
      </c>
      <c r="G78" s="314">
        <f t="shared" si="84"/>
        <v>0.16844267677241426</v>
      </c>
      <c r="H78" s="198">
        <f t="shared" ca="1" si="84"/>
        <v>0.1254511059673632</v>
      </c>
      <c r="I78" s="198">
        <f t="shared" ca="1" si="84"/>
        <v>0.15585246356652566</v>
      </c>
      <c r="J78" s="198">
        <f t="shared" ca="1" si="84"/>
        <v>0.16776260116223266</v>
      </c>
      <c r="K78" s="198">
        <f t="shared" ca="1" si="84"/>
        <v>0.17085612363083899</v>
      </c>
      <c r="L78" s="198">
        <f t="shared" ca="1" si="84"/>
        <v>0.17086077221856927</v>
      </c>
      <c r="M78" s="198">
        <f t="shared" ca="1" si="84"/>
        <v>0.17119813260179551</v>
      </c>
      <c r="O78" s="198">
        <f t="shared" ref="O78:AD78" si="85">IFERROR(O77/O$9,"N/A")</f>
        <v>0.28161512027491414</v>
      </c>
      <c r="P78" s="198">
        <f t="shared" si="85"/>
        <v>0.34174591843783825</v>
      </c>
      <c r="Q78" s="198">
        <f t="shared" si="85"/>
        <v>0.36843606220768854</v>
      </c>
      <c r="R78" s="314">
        <f t="shared" si="85"/>
        <v>0.33754806079529387</v>
      </c>
      <c r="S78" s="198">
        <f t="shared" si="85"/>
        <v>0.36286290676256466</v>
      </c>
      <c r="T78" s="198">
        <f t="shared" si="85"/>
        <v>0.2887378185593249</v>
      </c>
      <c r="U78" s="198">
        <f t="shared" si="85"/>
        <v>0.24122660427807496</v>
      </c>
      <c r="V78" s="314">
        <f t="shared" si="85"/>
        <v>8.8727469508387322E-2</v>
      </c>
      <c r="W78" s="198">
        <f t="shared" si="85"/>
        <v>0.16220430740261271</v>
      </c>
      <c r="X78" s="198">
        <f t="shared" si="85"/>
        <v>0.1908286841747176</v>
      </c>
      <c r="Y78" s="198">
        <f t="shared" ca="1" si="85"/>
        <v>0.18118744238072595</v>
      </c>
      <c r="Z78" s="314">
        <f t="shared" ca="1" si="85"/>
        <v>0.13244082045102112</v>
      </c>
      <c r="AA78" s="198">
        <f t="shared" ca="1" si="85"/>
        <v>0.19641174424058558</v>
      </c>
      <c r="AB78" s="198">
        <f t="shared" ca="1" si="85"/>
        <v>0.19352834041840949</v>
      </c>
      <c r="AC78" s="198">
        <f t="shared" ca="1" si="85"/>
        <v>0.21598378430444737</v>
      </c>
      <c r="AD78" s="198">
        <f t="shared" ca="1" si="85"/>
        <v>0.17191024792335674</v>
      </c>
    </row>
    <row r="79" spans="2:30" x14ac:dyDescent="0.2">
      <c r="AD79" s="155"/>
    </row>
    <row r="80" spans="2:30" x14ac:dyDescent="0.2">
      <c r="AD80" s="155"/>
    </row>
    <row r="81" spans="2:34" x14ac:dyDescent="0.2">
      <c r="G81" s="373"/>
      <c r="AD81" s="155"/>
    </row>
    <row r="82" spans="2:34" ht="15" x14ac:dyDescent="0.25">
      <c r="B82" s="6" t="s">
        <v>398</v>
      </c>
      <c r="D82" s="6" t="s">
        <v>389</v>
      </c>
      <c r="E82" s="6"/>
      <c r="F82" s="6"/>
      <c r="G82" s="226"/>
      <c r="H82" s="6" t="s">
        <v>382</v>
      </c>
      <c r="I82" s="6" t="s">
        <v>384</v>
      </c>
      <c r="J82" s="6" t="s">
        <v>387</v>
      </c>
      <c r="K82" s="6" t="s">
        <v>388</v>
      </c>
      <c r="L82" s="6"/>
      <c r="M82" s="6"/>
      <c r="N82" s="6"/>
      <c r="O82" s="6"/>
      <c r="P82" s="6"/>
      <c r="Q82" s="6"/>
      <c r="R82" s="226"/>
      <c r="S82" s="6"/>
      <c r="T82" s="6"/>
      <c r="U82" s="6"/>
      <c r="V82" s="226"/>
      <c r="W82" s="6"/>
      <c r="X82" s="6"/>
      <c r="Y82" s="6"/>
      <c r="Z82" s="226"/>
      <c r="AA82" s="6"/>
      <c r="AB82" s="6"/>
      <c r="AC82" s="6"/>
      <c r="AD82" s="6"/>
    </row>
    <row r="83" spans="2:34" x14ac:dyDescent="0.2">
      <c r="D83" s="1" t="s">
        <v>377</v>
      </c>
      <c r="G83" s="237" t="s">
        <v>383</v>
      </c>
      <c r="H83" s="1" t="s">
        <v>383</v>
      </c>
      <c r="I83" s="1">
        <v>0.84</v>
      </c>
      <c r="J83" s="74">
        <v>5</v>
      </c>
      <c r="K83" s="80">
        <f>J83*(I83/$I$88)</f>
        <v>0.18007974960339579</v>
      </c>
      <c r="AD83" s="155"/>
    </row>
    <row r="84" spans="2:34" x14ac:dyDescent="0.2">
      <c r="D84" s="1" t="s">
        <v>378</v>
      </c>
      <c r="G84" s="237">
        <v>5</v>
      </c>
      <c r="H84" s="1">
        <v>40</v>
      </c>
      <c r="I84" s="1">
        <v>9.07</v>
      </c>
      <c r="J84" s="74">
        <f>AVERAGE(G84:H84)</f>
        <v>22.5</v>
      </c>
      <c r="K84" s="80">
        <f>J84*(I84/$I$88)</f>
        <v>8.7499464048364288</v>
      </c>
      <c r="AD84" s="155"/>
    </row>
    <row r="85" spans="2:34" x14ac:dyDescent="0.2">
      <c r="D85" s="1" t="s">
        <v>379</v>
      </c>
      <c r="G85" s="237">
        <v>3</v>
      </c>
      <c r="H85" s="199">
        <v>5</v>
      </c>
      <c r="I85" s="1">
        <v>11.664</v>
      </c>
      <c r="J85" s="74">
        <f>AVERAGE(G85:H85)</f>
        <v>4</v>
      </c>
      <c r="K85" s="80">
        <f>J85*(I85/$I$88)</f>
        <v>2.0004287613085796</v>
      </c>
      <c r="AD85" s="155"/>
    </row>
    <row r="86" spans="2:34" x14ac:dyDescent="0.2">
      <c r="D86" s="1" t="s">
        <v>380</v>
      </c>
      <c r="G86" s="237">
        <v>3</v>
      </c>
      <c r="H86" s="199">
        <v>7</v>
      </c>
      <c r="I86" s="1">
        <v>1.6839999999999999</v>
      </c>
      <c r="J86" s="74">
        <f>AVERAGE(G86:H86)</f>
        <v>5</v>
      </c>
      <c r="K86" s="80">
        <f>J86*(I86/$I$88)</f>
        <v>0.36101702182395057</v>
      </c>
    </row>
    <row r="87" spans="2:34" x14ac:dyDescent="0.2">
      <c r="D87" s="1" t="s">
        <v>381</v>
      </c>
      <c r="G87" s="237">
        <v>5</v>
      </c>
      <c r="H87" s="199">
        <v>5</v>
      </c>
      <c r="I87" s="1">
        <v>6.5000000000000002E-2</v>
      </c>
      <c r="J87" s="74">
        <f>AVERAGE(G87:H87)</f>
        <v>5</v>
      </c>
      <c r="K87" s="80">
        <f>J87*(I87/$I$88)</f>
        <v>1.3934742528834197E-2</v>
      </c>
    </row>
    <row r="88" spans="2:34" x14ac:dyDescent="0.2">
      <c r="D88" s="13"/>
      <c r="E88" s="13"/>
      <c r="F88" s="13"/>
      <c r="G88" s="374"/>
      <c r="H88" s="13"/>
      <c r="I88" s="13">
        <f>SUM(I83:I87)</f>
        <v>23.323</v>
      </c>
      <c r="J88" s="77"/>
      <c r="K88" s="200">
        <f>SUM(K83:K87)</f>
        <v>11.305406680101189</v>
      </c>
      <c r="L88" s="80"/>
    </row>
    <row r="89" spans="2:34" x14ac:dyDescent="0.2">
      <c r="D89" s="121" t="s">
        <v>385</v>
      </c>
      <c r="I89" s="121">
        <v>-6.4930000000000003</v>
      </c>
      <c r="J89" s="87">
        <f>-I89/I88</f>
        <v>0.2783947176606783</v>
      </c>
    </row>
    <row r="90" spans="2:34" x14ac:dyDescent="0.2">
      <c r="D90" s="121" t="s">
        <v>386</v>
      </c>
      <c r="I90" s="1">
        <f>SUM(I88:I89)</f>
        <v>16.829999999999998</v>
      </c>
      <c r="J90" s="80">
        <f>(1-J89)*K88</f>
        <v>8.1580411793552727</v>
      </c>
    </row>
    <row r="92" spans="2:34" x14ac:dyDescent="0.2">
      <c r="B92" s="1" t="s">
        <v>390</v>
      </c>
      <c r="D92" s="1" t="s">
        <v>393</v>
      </c>
      <c r="E92" s="81">
        <v>5</v>
      </c>
      <c r="F92" s="64"/>
      <c r="G92" s="243"/>
      <c r="H92" s="64">
        <f>-CF!G24</f>
        <v>3.76729</v>
      </c>
      <c r="I92" s="64">
        <f>-CF!H24</f>
        <v>4.7010725000000004</v>
      </c>
      <c r="J92" s="64">
        <f>-CF!I24</f>
        <v>6.1113942500000009</v>
      </c>
      <c r="K92" s="64">
        <f>-CF!J24</f>
        <v>7.6392428125000018</v>
      </c>
      <c r="L92" s="64">
        <f>-CF!K24</f>
        <v>9.1670913750000018</v>
      </c>
      <c r="M92" s="64">
        <f>-CF!L24</f>
        <v>10.54215508125</v>
      </c>
      <c r="S92" s="64">
        <f>-CF!N24</f>
        <v>0.86299999999999999</v>
      </c>
      <c r="T92" s="64">
        <f>-CF!O24</f>
        <v>0.873</v>
      </c>
      <c r="U92" s="64">
        <f>-CF!P24</f>
        <v>0.74700000000000011</v>
      </c>
      <c r="V92" s="243">
        <f>-CF!Q24</f>
        <v>1.6430000000000002</v>
      </c>
      <c r="W92" s="64">
        <f>-CF!R24</f>
        <v>0.88200000000000001</v>
      </c>
      <c r="X92" s="64">
        <f>-CF!S24</f>
        <v>1.2669999999999999</v>
      </c>
      <c r="Y92" s="64">
        <f>-CF!T24</f>
        <v>0.89760000000000006</v>
      </c>
      <c r="Z92" s="243">
        <f>-CF!U24</f>
        <v>0.72068999999999994</v>
      </c>
      <c r="AA92" s="64">
        <f>-CF!V24</f>
        <v>1.053628</v>
      </c>
      <c r="AB92" s="64">
        <f>-CF!W24</f>
        <v>1.139095</v>
      </c>
      <c r="AC92" s="64">
        <f>-CF!X24</f>
        <v>1.3912800000000001</v>
      </c>
      <c r="AD92" s="64">
        <f>-CF!Y24</f>
        <v>1.1170694999999999</v>
      </c>
      <c r="AE92" s="64"/>
      <c r="AF92" s="64"/>
      <c r="AG92" s="64"/>
      <c r="AH92" s="64"/>
    </row>
    <row r="93" spans="2:34" x14ac:dyDescent="0.2">
      <c r="D93" s="1" t="s">
        <v>394</v>
      </c>
      <c r="E93" s="32">
        <v>0.5</v>
      </c>
    </row>
    <row r="94" spans="2:34" ht="15" x14ac:dyDescent="0.25">
      <c r="B94" s="201"/>
      <c r="C94" s="201"/>
      <c r="D94" s="201"/>
      <c r="E94" s="201"/>
      <c r="F94" s="201"/>
      <c r="G94" s="375"/>
      <c r="H94" s="201">
        <v>2022</v>
      </c>
      <c r="I94" s="201">
        <f>H94+1</f>
        <v>2023</v>
      </c>
      <c r="J94" s="201">
        <f>I94+1</f>
        <v>2024</v>
      </c>
      <c r="K94" s="201">
        <f>J94+1</f>
        <v>2025</v>
      </c>
      <c r="L94" s="201">
        <f>K94+1</f>
        <v>2026</v>
      </c>
      <c r="M94" s="201">
        <f>L94+1</f>
        <v>2027</v>
      </c>
    </row>
    <row r="95" spans="2:34" ht="15" x14ac:dyDescent="0.25">
      <c r="B95" s="73">
        <v>2022</v>
      </c>
      <c r="H95" s="64">
        <f>$I$88/8+$H$92/$E$92*$E$93</f>
        <v>3.2921040000000001</v>
      </c>
      <c r="I95" s="64">
        <f>$I$88/8+$H$92/$E$92+$H$92/$E$92</f>
        <v>4.4222910000000004</v>
      </c>
      <c r="J95" s="64">
        <f>$I$88/8+$H$92/$E$92+$H$92/$E$92</f>
        <v>4.4222910000000004</v>
      </c>
      <c r="K95" s="64">
        <f>$I$88/8+$H$92/$E$92+$H$92/$E$92</f>
        <v>4.4222910000000004</v>
      </c>
      <c r="L95" s="64">
        <f>$I$88/8+$H$92/$E$92+$H$92/$E$92</f>
        <v>4.4222910000000004</v>
      </c>
      <c r="M95" s="64">
        <f>$I$88/8+$H$92/$E$92*$E$93</f>
        <v>3.2921040000000001</v>
      </c>
    </row>
    <row r="96" spans="2:34" ht="15" x14ac:dyDescent="0.25">
      <c r="B96" s="73">
        <f>B95+1</f>
        <v>2023</v>
      </c>
      <c r="H96" s="64"/>
      <c r="I96" s="64">
        <f>+$I$92/$E$92*$E$93</f>
        <v>0.47010725000000003</v>
      </c>
      <c r="J96" s="64">
        <f>+$I$92/$E$92</f>
        <v>0.94021450000000006</v>
      </c>
      <c r="K96" s="64">
        <f>J96</f>
        <v>0.94021450000000006</v>
      </c>
      <c r="L96" s="64">
        <f>K96</f>
        <v>0.94021450000000006</v>
      </c>
      <c r="M96" s="64">
        <f>L96</f>
        <v>0.94021450000000006</v>
      </c>
    </row>
    <row r="97" spans="2:30" ht="15" x14ac:dyDescent="0.25">
      <c r="B97" s="73">
        <f>B96+1</f>
        <v>2024</v>
      </c>
      <c r="H97" s="64"/>
      <c r="I97" s="64"/>
      <c r="J97" s="64">
        <f>+$J$92/$E$92*$E$93</f>
        <v>0.61113942500000007</v>
      </c>
      <c r="K97" s="64">
        <f>+$J$92/$E$92</f>
        <v>1.2222788500000001</v>
      </c>
      <c r="L97" s="64">
        <f>+$J$92/$E$92</f>
        <v>1.2222788500000001</v>
      </c>
      <c r="M97" s="64">
        <f>+$J$92/$E$92</f>
        <v>1.2222788500000001</v>
      </c>
    </row>
    <row r="98" spans="2:30" ht="15" x14ac:dyDescent="0.25">
      <c r="B98" s="73">
        <f>B97+1</f>
        <v>2025</v>
      </c>
      <c r="H98" s="64"/>
      <c r="I98" s="64"/>
      <c r="J98" s="64"/>
      <c r="K98" s="64">
        <f>+$K$92/$E$92*$E$93</f>
        <v>0.76392428125000023</v>
      </c>
      <c r="L98" s="64">
        <f>+$K$92/$E$92</f>
        <v>1.5278485625000005</v>
      </c>
      <c r="M98" s="64">
        <f>+$K$92/$E$92</f>
        <v>1.5278485625000005</v>
      </c>
    </row>
    <row r="99" spans="2:30" ht="15" x14ac:dyDescent="0.25">
      <c r="B99" s="73">
        <f>B98+1</f>
        <v>2026</v>
      </c>
      <c r="H99" s="64"/>
      <c r="I99" s="64"/>
      <c r="J99" s="64"/>
      <c r="K99" s="64"/>
      <c r="L99" s="64">
        <f>+$L$92/$E$92*$E$93</f>
        <v>0.91670913750000016</v>
      </c>
      <c r="M99" s="64">
        <f>+$L$92/$E$92</f>
        <v>1.8334182750000003</v>
      </c>
    </row>
    <row r="100" spans="2:30" ht="15" x14ac:dyDescent="0.25">
      <c r="B100" s="73">
        <f>B99+1</f>
        <v>2027</v>
      </c>
      <c r="H100" s="64"/>
      <c r="I100" s="64"/>
      <c r="J100" s="64"/>
      <c r="K100" s="64"/>
      <c r="L100" s="64"/>
      <c r="M100" s="64">
        <f>+$M$92/$E$92*$E$93</f>
        <v>1.054215508125</v>
      </c>
    </row>
    <row r="101" spans="2:30" ht="15" x14ac:dyDescent="0.25">
      <c r="B101" s="202" t="s">
        <v>395</v>
      </c>
      <c r="C101" s="181"/>
      <c r="D101" s="181"/>
      <c r="E101" s="181"/>
      <c r="F101" s="181"/>
      <c r="G101" s="376"/>
      <c r="H101" s="182">
        <f t="shared" ref="H101:M101" si="86">SUM(H95:H100)</f>
        <v>3.2921040000000001</v>
      </c>
      <c r="I101" s="182">
        <f t="shared" si="86"/>
        <v>4.8923982500000003</v>
      </c>
      <c r="J101" s="182">
        <f t="shared" si="86"/>
        <v>5.9736449250000003</v>
      </c>
      <c r="K101" s="182">
        <f t="shared" si="86"/>
        <v>7.348708631250001</v>
      </c>
      <c r="L101" s="182">
        <f t="shared" si="86"/>
        <v>9.0293420500000003</v>
      </c>
      <c r="M101" s="182">
        <f t="shared" si="86"/>
        <v>9.8700796956250016</v>
      </c>
      <c r="W101" s="1">
        <v>0.4</v>
      </c>
      <c r="X101" s="1">
        <v>0.5</v>
      </c>
      <c r="Y101" s="80">
        <f>(H101-SUM(W101:X101))/2</f>
        <v>1.1960520000000001</v>
      </c>
      <c r="Z101" s="325">
        <f>Y101</f>
        <v>1.1960520000000001</v>
      </c>
      <c r="AA101" s="80">
        <f>I101/4</f>
        <v>1.2230995625000001</v>
      </c>
      <c r="AB101" s="80">
        <f>AA101</f>
        <v>1.2230995625000001</v>
      </c>
      <c r="AC101" s="80">
        <f>AB101</f>
        <v>1.2230995625000001</v>
      </c>
      <c r="AD101" s="80">
        <f>AC101</f>
        <v>1.2230995625000001</v>
      </c>
    </row>
    <row r="104" spans="2:30" x14ac:dyDescent="0.2">
      <c r="B104" s="1" t="s">
        <v>100</v>
      </c>
      <c r="H104" s="81">
        <v>8.6509999999999998</v>
      </c>
      <c r="I104" s="81">
        <v>7.9180000000000001</v>
      </c>
      <c r="J104" s="81">
        <v>7.585</v>
      </c>
      <c r="K104" s="81">
        <v>7.585</v>
      </c>
      <c r="L104" s="81">
        <v>7.585</v>
      </c>
      <c r="M104" s="81">
        <v>7.585</v>
      </c>
      <c r="W104" s="1">
        <v>2.2999999999999998</v>
      </c>
      <c r="X104" s="1">
        <v>2.2000000000000002</v>
      </c>
      <c r="Y104" s="80">
        <f>(H104-SUM(W104:X104))/2</f>
        <v>2.0754999999999999</v>
      </c>
      <c r="Z104" s="325">
        <f>Y104</f>
        <v>2.0754999999999999</v>
      </c>
      <c r="AA104" s="80">
        <f>I104/4</f>
        <v>1.9795</v>
      </c>
      <c r="AB104" s="80">
        <f>AA104</f>
        <v>1.9795</v>
      </c>
      <c r="AC104" s="80">
        <f>AB104</f>
        <v>1.9795</v>
      </c>
      <c r="AD104" s="80">
        <f>AC104</f>
        <v>1.9795</v>
      </c>
    </row>
    <row r="106" spans="2:30" x14ac:dyDescent="0.2">
      <c r="B106" s="13" t="s">
        <v>396</v>
      </c>
      <c r="C106" s="13"/>
      <c r="D106" s="13"/>
      <c r="E106" s="13"/>
      <c r="F106" s="13"/>
      <c r="G106" s="374"/>
      <c r="H106" s="203">
        <f t="shared" ref="H106:M106" si="87">SUM(H101,H104)</f>
        <v>11.943104</v>
      </c>
      <c r="I106" s="203">
        <f t="shared" si="87"/>
        <v>12.81039825</v>
      </c>
      <c r="J106" s="203">
        <f t="shared" si="87"/>
        <v>13.558644924999999</v>
      </c>
      <c r="K106" s="203">
        <f t="shared" si="87"/>
        <v>14.933708631250001</v>
      </c>
      <c r="L106" s="203">
        <f t="shared" si="87"/>
        <v>16.614342050000001</v>
      </c>
      <c r="M106" s="203">
        <f t="shared" si="87"/>
        <v>17.455079695625003</v>
      </c>
      <c r="O106" s="203">
        <f>O20</f>
        <v>2.0609999999999999</v>
      </c>
      <c r="P106" s="183">
        <f t="shared" ref="P106:X106" si="88">P20</f>
        <v>2.0640000000000001</v>
      </c>
      <c r="Q106" s="183">
        <f t="shared" si="88"/>
        <v>2.069</v>
      </c>
      <c r="R106" s="310">
        <f t="shared" si="88"/>
        <v>2.0680000000000005</v>
      </c>
      <c r="S106" s="183">
        <f t="shared" si="88"/>
        <v>2.0680000000000001</v>
      </c>
      <c r="T106" s="183">
        <f t="shared" si="88"/>
        <v>2.0619999999999998</v>
      </c>
      <c r="U106" s="183">
        <f t="shared" si="88"/>
        <v>2.1749999999999998</v>
      </c>
      <c r="V106" s="310">
        <f t="shared" si="88"/>
        <v>2.2149999999999999</v>
      </c>
      <c r="W106" s="183">
        <f t="shared" si="88"/>
        <v>2.3660000000000001</v>
      </c>
      <c r="X106" s="183">
        <f t="shared" si="88"/>
        <v>2.3439999999999999</v>
      </c>
      <c r="Y106" s="183">
        <f>(H106-SUM(W106:X106))/2</f>
        <v>3.616552</v>
      </c>
      <c r="Z106" s="310">
        <f>Y106</f>
        <v>3.616552</v>
      </c>
      <c r="AA106" s="183">
        <f>I106/4</f>
        <v>3.2025995625000001</v>
      </c>
      <c r="AB106" s="183">
        <f>AA106</f>
        <v>3.2025995625000001</v>
      </c>
      <c r="AC106" s="183">
        <f>AB106</f>
        <v>3.2025995625000001</v>
      </c>
      <c r="AD106" s="183">
        <f>AC106</f>
        <v>3.2025995625000001</v>
      </c>
    </row>
    <row r="111" spans="2:30" ht="15" x14ac:dyDescent="0.25">
      <c r="B111" s="6" t="s">
        <v>397</v>
      </c>
      <c r="D111" s="6"/>
      <c r="E111" s="6"/>
      <c r="F111" s="6"/>
      <c r="G111" s="22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226"/>
      <c r="S111" s="6"/>
      <c r="T111" s="6"/>
      <c r="U111" s="6"/>
      <c r="V111" s="226"/>
      <c r="W111" s="6"/>
      <c r="X111" s="6"/>
      <c r="Y111" s="6"/>
      <c r="Z111" s="226"/>
      <c r="AA111" s="6"/>
      <c r="AB111" s="6"/>
      <c r="AC111" s="6"/>
      <c r="AD111" s="6"/>
    </row>
    <row r="113" spans="2:34" ht="15" x14ac:dyDescent="0.25">
      <c r="B113" s="204" t="s">
        <v>408</v>
      </c>
      <c r="D113" s="205" t="s">
        <v>409</v>
      </c>
      <c r="E113" s="205" t="s">
        <v>410</v>
      </c>
      <c r="F113" s="205" t="s">
        <v>411</v>
      </c>
    </row>
    <row r="114" spans="2:34" x14ac:dyDescent="0.2">
      <c r="B114" s="1" t="s">
        <v>407</v>
      </c>
      <c r="D114" s="18">
        <v>150</v>
      </c>
      <c r="E114" s="81">
        <v>85.14</v>
      </c>
      <c r="F114" s="206">
        <v>350</v>
      </c>
    </row>
    <row r="115" spans="2:34" x14ac:dyDescent="0.2">
      <c r="B115" s="1" t="s">
        <v>404</v>
      </c>
      <c r="D115" s="18">
        <v>350</v>
      </c>
      <c r="E115" s="81">
        <v>196.25</v>
      </c>
      <c r="F115" s="206">
        <v>350</v>
      </c>
    </row>
    <row r="118" spans="2:34" x14ac:dyDescent="0.2">
      <c r="B118" s="207" t="s">
        <v>412</v>
      </c>
      <c r="C118" s="7"/>
      <c r="D118" s="7"/>
      <c r="E118" s="7"/>
      <c r="F118" s="7"/>
      <c r="G118" s="315"/>
      <c r="H118" s="208">
        <v>3.3500000000000002E-2</v>
      </c>
      <c r="I118" s="208">
        <v>3.3500000000000002E-2</v>
      </c>
      <c r="J118" s="208">
        <v>2.8000000000000001E-2</v>
      </c>
      <c r="K118" s="208">
        <v>2.5600000000000001E-2</v>
      </c>
      <c r="L118" s="208">
        <v>2.5100000000000001E-2</v>
      </c>
      <c r="M118" s="208">
        <v>2.58E-2</v>
      </c>
      <c r="N118" s="7"/>
      <c r="O118" s="7"/>
      <c r="P118" s="7"/>
      <c r="Q118" s="7"/>
      <c r="R118" s="315"/>
      <c r="S118" s="7"/>
      <c r="T118" s="7"/>
      <c r="U118" s="7"/>
      <c r="V118" s="315"/>
      <c r="W118" s="7"/>
      <c r="X118" s="209">
        <f>H118</f>
        <v>3.3500000000000002E-2</v>
      </c>
      <c r="Y118" s="209">
        <f>X118</f>
        <v>3.3500000000000002E-2</v>
      </c>
      <c r="Z118" s="326">
        <f>Y118</f>
        <v>3.3500000000000002E-2</v>
      </c>
      <c r="AA118" s="209">
        <f>I118</f>
        <v>3.3500000000000002E-2</v>
      </c>
      <c r="AB118" s="209">
        <f>AA118</f>
        <v>3.3500000000000002E-2</v>
      </c>
      <c r="AC118" s="209">
        <f>AB118</f>
        <v>3.3500000000000002E-2</v>
      </c>
      <c r="AD118" s="209">
        <f>AC118</f>
        <v>3.3500000000000002E-2</v>
      </c>
    </row>
    <row r="122" spans="2:34" ht="15" hidden="1" outlineLevel="1" x14ac:dyDescent="0.25">
      <c r="B122" s="73" t="s">
        <v>84</v>
      </c>
      <c r="D122" s="160">
        <f>D9</f>
        <v>103.75</v>
      </c>
      <c r="E122" s="160">
        <f t="shared" ref="E122:M122" si="89">E9</f>
        <v>144.49600000000001</v>
      </c>
      <c r="F122" s="160">
        <f t="shared" si="89"/>
        <v>175.518</v>
      </c>
      <c r="G122" s="240">
        <f t="shared" si="89"/>
        <v>213.21199999999999</v>
      </c>
      <c r="H122" s="160">
        <f t="shared" si="89"/>
        <v>303.29499999999996</v>
      </c>
      <c r="I122" s="160">
        <f t="shared" si="89"/>
        <v>470.10725000000002</v>
      </c>
      <c r="J122" s="160">
        <f t="shared" si="89"/>
        <v>611.13942500000007</v>
      </c>
      <c r="K122" s="160">
        <f t="shared" si="89"/>
        <v>763.92428125000015</v>
      </c>
      <c r="L122" s="160">
        <f t="shared" si="89"/>
        <v>916.70913750000011</v>
      </c>
      <c r="M122" s="160">
        <f t="shared" si="89"/>
        <v>1054.215508125</v>
      </c>
      <c r="O122" s="83"/>
      <c r="P122" s="83"/>
      <c r="Q122" s="83"/>
      <c r="R122" s="316"/>
      <c r="S122" s="160">
        <f t="shared" ref="S122:AD122" si="90">S9</f>
        <v>45.603999999999999</v>
      </c>
      <c r="T122" s="160">
        <f t="shared" si="90"/>
        <v>59.722000000000001</v>
      </c>
      <c r="U122" s="160">
        <f t="shared" si="90"/>
        <v>59.84</v>
      </c>
      <c r="V122" s="240">
        <f t="shared" si="90"/>
        <v>48.045999999999992</v>
      </c>
      <c r="W122" s="160">
        <f t="shared" si="90"/>
        <v>67.975999999999999</v>
      </c>
      <c r="X122" s="160">
        <f t="shared" si="90"/>
        <v>73.489999999999995</v>
      </c>
      <c r="Y122" s="160">
        <f t="shared" si="90"/>
        <v>89.76</v>
      </c>
      <c r="Z122" s="240">
        <f t="shared" si="90"/>
        <v>72.068999999999988</v>
      </c>
      <c r="AA122" s="160">
        <f t="shared" si="90"/>
        <v>105.36280000000001</v>
      </c>
      <c r="AB122" s="160">
        <f t="shared" si="90"/>
        <v>113.90949999999999</v>
      </c>
      <c r="AC122" s="160">
        <f t="shared" si="90"/>
        <v>139.12800000000001</v>
      </c>
      <c r="AD122" s="160">
        <f t="shared" si="90"/>
        <v>111.70694999999999</v>
      </c>
      <c r="AE122" s="160"/>
      <c r="AF122" s="160"/>
      <c r="AG122" s="160"/>
      <c r="AH122" s="160"/>
    </row>
    <row r="123" spans="2:34" hidden="1" outlineLevel="1" x14ac:dyDescent="0.2">
      <c r="O123" s="83"/>
      <c r="P123" s="83"/>
      <c r="Q123" s="83"/>
      <c r="R123" s="316"/>
    </row>
    <row r="124" spans="2:34" ht="4.5" customHeight="1" collapsed="1" x14ac:dyDescent="0.2"/>
    <row r="125" spans="2:34" ht="15" customHeight="1" x14ac:dyDescent="0.25">
      <c r="B125" s="210" t="s">
        <v>434</v>
      </c>
    </row>
    <row r="126" spans="2:34" ht="15" customHeight="1" x14ac:dyDescent="0.2">
      <c r="B126" s="1" t="s">
        <v>429</v>
      </c>
      <c r="J126" s="211">
        <f ca="1">+CF!I21</f>
        <v>158.9440927571757</v>
      </c>
      <c r="K126" s="211">
        <f ca="1">+CF!J21</f>
        <v>132.79199800470309</v>
      </c>
      <c r="L126" s="211">
        <f ca="1">+CF!K21</f>
        <v>160.89380454680568</v>
      </c>
      <c r="M126" s="211">
        <f ca="1">+CF!L21</f>
        <v>187.87641025396508</v>
      </c>
      <c r="Y126" s="211">
        <f ca="1">+CF!T21</f>
        <v>10.301402581518616</v>
      </c>
      <c r="Z126" s="327">
        <f ca="1">+CF!U21</f>
        <v>30.271810311002454</v>
      </c>
      <c r="AA126" s="211">
        <f ca="1">+CF!V21</f>
        <v>-10.794422810058158</v>
      </c>
      <c r="AB126" s="211">
        <f ca="1">+CF!W21</f>
        <v>14.255589736055528</v>
      </c>
      <c r="AC126" s="211">
        <f ca="1">+CF!X21</f>
        <v>2.1665972765992354</v>
      </c>
      <c r="AD126" s="211">
        <f ca="1">+CF!Y21</f>
        <v>50.995141805734647</v>
      </c>
    </row>
    <row r="127" spans="2:34" ht="15" customHeight="1" x14ac:dyDescent="0.2">
      <c r="B127" s="1" t="s">
        <v>430</v>
      </c>
      <c r="J127" s="211">
        <f>+CF!I26</f>
        <v>-6.1113942500000009</v>
      </c>
      <c r="K127" s="211">
        <f>+CF!J26</f>
        <v>-7.6392428125000018</v>
      </c>
      <c r="L127" s="211">
        <f>+CF!K26</f>
        <v>-9.1670913750000018</v>
      </c>
      <c r="M127" s="211">
        <f>+CF!L26</f>
        <v>-10.54215508125</v>
      </c>
      <c r="Y127" s="211">
        <f>+CF!T26</f>
        <v>-0.89760000000000006</v>
      </c>
      <c r="Z127" s="327">
        <f>+CF!U26</f>
        <v>-0.72068999999999994</v>
      </c>
      <c r="AA127" s="211">
        <f>+CF!V26</f>
        <v>-1.053628</v>
      </c>
      <c r="AB127" s="211">
        <f>+CF!W26</f>
        <v>-1.139095</v>
      </c>
      <c r="AC127" s="211">
        <f>+CF!X26</f>
        <v>-1.3912800000000001</v>
      </c>
      <c r="AD127" s="211">
        <f>+CF!Y26</f>
        <v>-1.1170694999999999</v>
      </c>
    </row>
    <row r="128" spans="2:34" ht="15" customHeight="1" x14ac:dyDescent="0.2">
      <c r="B128" s="1" t="s">
        <v>431</v>
      </c>
      <c r="J128" s="211">
        <v>0</v>
      </c>
      <c r="K128" s="211">
        <v>0</v>
      </c>
      <c r="L128" s="211">
        <v>0</v>
      </c>
      <c r="M128" s="211">
        <v>0</v>
      </c>
      <c r="Y128" s="211">
        <f t="shared" ref="Y128:AD128" si="91">+Y143</f>
        <v>0</v>
      </c>
      <c r="Z128" s="327">
        <f t="shared" si="91"/>
        <v>0</v>
      </c>
      <c r="AA128" s="211">
        <f t="shared" si="91"/>
        <v>0</v>
      </c>
      <c r="AB128" s="211">
        <f t="shared" si="91"/>
        <v>0</v>
      </c>
      <c r="AC128" s="211">
        <f t="shared" si="91"/>
        <v>0</v>
      </c>
      <c r="AD128" s="211">
        <f t="shared" si="91"/>
        <v>0</v>
      </c>
    </row>
    <row r="129" spans="2:34" ht="15" customHeight="1" x14ac:dyDescent="0.2">
      <c r="B129" s="15" t="s">
        <v>432</v>
      </c>
      <c r="C129" s="15"/>
      <c r="D129" s="15"/>
      <c r="E129" s="15"/>
      <c r="F129" s="15"/>
      <c r="G129" s="295"/>
      <c r="H129" s="15"/>
      <c r="I129" s="15"/>
      <c r="J129" s="212">
        <v>-10</v>
      </c>
      <c r="K129" s="213">
        <f>+J129</f>
        <v>-10</v>
      </c>
      <c r="L129" s="213">
        <f>+K129</f>
        <v>-10</v>
      </c>
      <c r="M129" s="213">
        <f>+L129</f>
        <v>-10</v>
      </c>
      <c r="N129" s="15"/>
      <c r="O129" s="15"/>
      <c r="P129" s="15"/>
      <c r="Q129" s="15"/>
      <c r="R129" s="295"/>
      <c r="S129" s="15"/>
      <c r="T129" s="15"/>
      <c r="U129" s="15"/>
      <c r="V129" s="295"/>
      <c r="W129" s="15"/>
      <c r="X129" s="15"/>
      <c r="Y129" s="214">
        <v>-10</v>
      </c>
      <c r="Z129" s="328">
        <f>+Y129</f>
        <v>-10</v>
      </c>
      <c r="AA129" s="212">
        <f>+Z129</f>
        <v>-10</v>
      </c>
      <c r="AB129" s="212">
        <f>+AA129</f>
        <v>-10</v>
      </c>
      <c r="AC129" s="212">
        <f>+AB129</f>
        <v>-10</v>
      </c>
      <c r="AD129" s="212">
        <f>+AC129</f>
        <v>-10</v>
      </c>
    </row>
    <row r="130" spans="2:34" ht="15" customHeight="1" x14ac:dyDescent="0.25">
      <c r="B130" s="73" t="s">
        <v>433</v>
      </c>
      <c r="C130" s="73"/>
      <c r="D130" s="73"/>
      <c r="E130" s="73"/>
      <c r="F130" s="73"/>
      <c r="G130" s="378"/>
      <c r="H130" s="73"/>
      <c r="I130" s="73"/>
      <c r="J130" s="572">
        <f ca="1">SUM(J126:J129)</f>
        <v>142.83269850717571</v>
      </c>
      <c r="K130" s="572">
        <f ca="1">SUM(K126:K129)</f>
        <v>115.15275519220309</v>
      </c>
      <c r="L130" s="572">
        <f ca="1">SUM(L126:L129)</f>
        <v>141.72671317180567</v>
      </c>
      <c r="M130" s="572">
        <f ca="1">SUM(M126:M129)</f>
        <v>167.33425517271507</v>
      </c>
      <c r="N130" s="73"/>
      <c r="O130" s="73"/>
      <c r="P130" s="73"/>
      <c r="Q130" s="73"/>
      <c r="R130" s="378"/>
      <c r="S130" s="73"/>
      <c r="T130" s="73"/>
      <c r="U130" s="73"/>
      <c r="V130" s="378"/>
      <c r="W130" s="73"/>
      <c r="X130" s="73"/>
      <c r="Y130" s="572">
        <f t="shared" ref="Y130:AD130" ca="1" si="92">Y126+Y127+Y128+Y129</f>
        <v>-0.59619741848138474</v>
      </c>
      <c r="Z130" s="573">
        <f t="shared" ca="1" si="92"/>
        <v>19.551120311002453</v>
      </c>
      <c r="AA130" s="572">
        <f t="shared" ca="1" si="92"/>
        <v>-21.848050810058158</v>
      </c>
      <c r="AB130" s="572">
        <f t="shared" ca="1" si="92"/>
        <v>3.1164947360555288</v>
      </c>
      <c r="AC130" s="572">
        <f t="shared" ca="1" si="92"/>
        <v>-9.2246827234007647</v>
      </c>
      <c r="AD130" s="572">
        <f t="shared" ca="1" si="92"/>
        <v>39.878072305734648</v>
      </c>
    </row>
    <row r="131" spans="2:34" ht="15" customHeight="1" x14ac:dyDescent="0.2"/>
    <row r="132" spans="2:34" ht="15" x14ac:dyDescent="0.25">
      <c r="B132" s="215" t="s">
        <v>407</v>
      </c>
      <c r="D132" s="215"/>
      <c r="E132" s="215"/>
      <c r="F132" s="215"/>
      <c r="G132" s="317"/>
      <c r="H132" s="215"/>
      <c r="I132" s="215"/>
      <c r="J132" s="215"/>
      <c r="K132" s="215"/>
      <c r="L132" s="215"/>
      <c r="M132" s="215"/>
      <c r="O132" s="215"/>
      <c r="P132" s="215"/>
      <c r="Q132" s="215"/>
      <c r="R132" s="317"/>
      <c r="S132" s="215"/>
      <c r="T132" s="215"/>
      <c r="U132" s="215"/>
      <c r="V132" s="317"/>
      <c r="W132" s="215"/>
      <c r="X132" s="215"/>
      <c r="Y132" s="215"/>
      <c r="Z132" s="317"/>
      <c r="AA132" s="215"/>
      <c r="AB132" s="215"/>
      <c r="AC132" s="215"/>
      <c r="AD132" s="215"/>
    </row>
    <row r="133" spans="2:34" x14ac:dyDescent="0.2">
      <c r="B133" s="1" t="s">
        <v>399</v>
      </c>
      <c r="I133" s="216"/>
      <c r="J133" s="216">
        <f ca="1">I135</f>
        <v>54.263243599147671</v>
      </c>
      <c r="K133" s="216">
        <f ca="1">J135</f>
        <v>0</v>
      </c>
      <c r="L133" s="216">
        <f ca="1">K135</f>
        <v>0</v>
      </c>
      <c r="M133" s="216">
        <f ca="1">L135</f>
        <v>0</v>
      </c>
      <c r="O133" s="83"/>
      <c r="P133" s="83"/>
      <c r="Q133" s="83"/>
      <c r="R133" s="316"/>
      <c r="S133" s="83"/>
      <c r="T133" s="83"/>
      <c r="U133" s="83"/>
      <c r="V133" s="316"/>
      <c r="W133" s="83"/>
      <c r="X133" s="74"/>
      <c r="Y133" s="74">
        <f t="shared" ref="Y133:AD133" si="93">X135</f>
        <v>85.14</v>
      </c>
      <c r="Z133" s="329">
        <f t="shared" ca="1" si="93"/>
        <v>85.736197418481382</v>
      </c>
      <c r="AA133" s="74">
        <f t="shared" ca="1" si="93"/>
        <v>66.185077107478932</v>
      </c>
      <c r="AB133" s="74">
        <f t="shared" ca="1" si="93"/>
        <v>88.033127917537087</v>
      </c>
      <c r="AC133" s="74">
        <f t="shared" ca="1" si="93"/>
        <v>84.916633181481558</v>
      </c>
      <c r="AD133" s="74">
        <f t="shared" ca="1" si="93"/>
        <v>94.141315904882319</v>
      </c>
    </row>
    <row r="134" spans="2:34" x14ac:dyDescent="0.2">
      <c r="B134" s="1" t="s">
        <v>400</v>
      </c>
      <c r="D134" s="217">
        <v>1</v>
      </c>
      <c r="E134" s="1" t="s">
        <v>418</v>
      </c>
      <c r="I134" s="216"/>
      <c r="J134" s="74">
        <f ca="1">IF($D$134=1,-MIN(J133,J130),0)</f>
        <v>-54.263243599147671</v>
      </c>
      <c r="K134" s="74">
        <f ca="1">IF($D$134=1,-MIN(K133,K130),0)</f>
        <v>0</v>
      </c>
      <c r="L134" s="74">
        <f ca="1">IF($D$134=1,-MIN(L133,L130),0)</f>
        <v>0</v>
      </c>
      <c r="M134" s="74">
        <f ca="1">IF($D$134=1,-MIN(M133,M130),0)</f>
        <v>0</v>
      </c>
      <c r="O134" s="83"/>
      <c r="P134" s="83"/>
      <c r="Q134" s="83"/>
      <c r="R134" s="316"/>
      <c r="S134" s="83"/>
      <c r="T134" s="83"/>
      <c r="U134" s="83"/>
      <c r="V134" s="316"/>
      <c r="W134" s="83"/>
      <c r="X134" s="74"/>
      <c r="Y134" s="74">
        <f t="shared" ref="Y134:AD134" ca="1" si="94">IF($D$134=1,-MIN(Y133,Y130),0)</f>
        <v>0.59619741848138474</v>
      </c>
      <c r="Z134" s="329">
        <f t="shared" ca="1" si="94"/>
        <v>-19.551120311002453</v>
      </c>
      <c r="AA134" s="74">
        <f t="shared" ca="1" si="94"/>
        <v>21.848050810058158</v>
      </c>
      <c r="AB134" s="74">
        <f t="shared" ca="1" si="94"/>
        <v>-3.1164947360555288</v>
      </c>
      <c r="AC134" s="74">
        <f t="shared" ca="1" si="94"/>
        <v>9.2246827234007647</v>
      </c>
      <c r="AD134" s="74">
        <f t="shared" ca="1" si="94"/>
        <v>-39.878072305734648</v>
      </c>
    </row>
    <row r="135" spans="2:34" ht="15" x14ac:dyDescent="0.25">
      <c r="B135" s="181" t="s">
        <v>401</v>
      </c>
      <c r="D135" s="181"/>
      <c r="E135" s="181"/>
      <c r="F135" s="181"/>
      <c r="G135" s="376"/>
      <c r="H135" s="182"/>
      <c r="I135" s="182">
        <f ca="1">+AD135</f>
        <v>54.263243599147671</v>
      </c>
      <c r="J135" s="182">
        <f ca="1">SUM(J133:J134)</f>
        <v>0</v>
      </c>
      <c r="K135" s="182">
        <f ca="1">SUM(K133:K134)</f>
        <v>0</v>
      </c>
      <c r="L135" s="182">
        <f ca="1">SUM(L133:L134)</f>
        <v>0</v>
      </c>
      <c r="M135" s="182">
        <f ca="1">SUM(M133:M134)</f>
        <v>0</v>
      </c>
      <c r="N135" s="64"/>
      <c r="O135" s="83"/>
      <c r="P135" s="83"/>
      <c r="Q135" s="83"/>
      <c r="R135" s="316"/>
      <c r="S135" s="83"/>
      <c r="T135" s="83"/>
      <c r="U135" s="83"/>
      <c r="V135" s="316"/>
      <c r="W135" s="83"/>
      <c r="X135" s="182">
        <f>E114</f>
        <v>85.14</v>
      </c>
      <c r="Y135" s="182">
        <f t="shared" ref="Y135:AD135" ca="1" si="95">SUM(Y133:Y134)</f>
        <v>85.736197418481382</v>
      </c>
      <c r="Z135" s="283">
        <f t="shared" ca="1" si="95"/>
        <v>66.185077107478932</v>
      </c>
      <c r="AA135" s="182">
        <f t="shared" ca="1" si="95"/>
        <v>88.033127917537087</v>
      </c>
      <c r="AB135" s="182">
        <f t="shared" ca="1" si="95"/>
        <v>84.916633181481558</v>
      </c>
      <c r="AC135" s="182">
        <f t="shared" ca="1" si="95"/>
        <v>94.141315904882319</v>
      </c>
      <c r="AD135" s="182">
        <f t="shared" ca="1" si="95"/>
        <v>54.263243599147671</v>
      </c>
      <c r="AE135" s="216"/>
      <c r="AF135" s="216"/>
      <c r="AG135" s="216"/>
      <c r="AH135" s="216"/>
    </row>
    <row r="136" spans="2:34" x14ac:dyDescent="0.2">
      <c r="B136" s="1" t="s">
        <v>402</v>
      </c>
      <c r="I136" s="74">
        <f ca="1">SUM(AA136:AD136)</f>
        <v>5.6052734397422945</v>
      </c>
      <c r="J136" s="74">
        <f ca="1">AVERAGE(J133,J135)*J137</f>
        <v>1.7092921733731516</v>
      </c>
      <c r="K136" s="74">
        <f ca="1">AVERAGE(K133,K135)*K137</f>
        <v>0</v>
      </c>
      <c r="L136" s="74">
        <f ca="1">AVERAGE(L133,L135)*L137</f>
        <v>0</v>
      </c>
      <c r="M136" s="74">
        <f ca="1">AVERAGE(M133,M135)*M137</f>
        <v>0</v>
      </c>
      <c r="O136" s="83"/>
      <c r="P136" s="83"/>
      <c r="Q136" s="83"/>
      <c r="R136" s="316"/>
      <c r="S136" s="83"/>
      <c r="T136" s="83"/>
      <c r="U136" s="83"/>
      <c r="V136" s="316"/>
      <c r="W136" s="83"/>
      <c r="X136" s="74"/>
      <c r="Y136" s="74">
        <f t="shared" ref="Y136:AD136" ca="1" si="96">AVERAGE(Y133,Y135)*Y137</f>
        <v>1.463127440395747</v>
      </c>
      <c r="Z136" s="329">
        <f t="shared" ca="1" si="96"/>
        <v>1.3008259131285353</v>
      </c>
      <c r="AA136" s="74">
        <f t="shared" ca="1" si="96"/>
        <v>1.3204933805266996</v>
      </c>
      <c r="AB136" s="74">
        <f t="shared" ca="1" si="96"/>
        <v>1.4808823294103473</v>
      </c>
      <c r="AC136" s="74">
        <f t="shared" ca="1" si="96"/>
        <v>1.5331836890519908</v>
      </c>
      <c r="AD136" s="74">
        <f t="shared" ca="1" si="96"/>
        <v>1.2707140407532567</v>
      </c>
    </row>
    <row r="137" spans="2:34" s="38" customFormat="1" x14ac:dyDescent="0.2">
      <c r="B137" s="38" t="s">
        <v>403</v>
      </c>
      <c r="G137" s="377"/>
      <c r="I137" s="218">
        <f>(I$118+($F$114/10000))</f>
        <v>6.8500000000000005E-2</v>
      </c>
      <c r="J137" s="218">
        <f>(J$118+($F$114/10000))</f>
        <v>6.3E-2</v>
      </c>
      <c r="K137" s="218">
        <f>(K$118+($F$114/10000))</f>
        <v>6.0600000000000001E-2</v>
      </c>
      <c r="L137" s="218">
        <f>(L$118+($F$114/10000))</f>
        <v>6.0100000000000001E-2</v>
      </c>
      <c r="M137" s="218">
        <f>(M$118+($F$114/10000))</f>
        <v>6.0800000000000007E-2</v>
      </c>
      <c r="O137" s="219"/>
      <c r="P137" s="219"/>
      <c r="Q137" s="219"/>
      <c r="R137" s="318"/>
      <c r="S137" s="219"/>
      <c r="T137" s="219"/>
      <c r="U137" s="219"/>
      <c r="V137" s="318"/>
      <c r="W137" s="219"/>
      <c r="Y137" s="218">
        <f t="shared" ref="Y137:AD137" si="97">(Y$118+($F$114/10000))/4</f>
        <v>1.7125000000000001E-2</v>
      </c>
      <c r="Z137" s="330">
        <f t="shared" si="97"/>
        <v>1.7125000000000001E-2</v>
      </c>
      <c r="AA137" s="218">
        <f t="shared" si="97"/>
        <v>1.7125000000000001E-2</v>
      </c>
      <c r="AB137" s="218">
        <f t="shared" si="97"/>
        <v>1.7125000000000001E-2</v>
      </c>
      <c r="AC137" s="218">
        <f t="shared" si="97"/>
        <v>1.7125000000000001E-2</v>
      </c>
      <c r="AD137" s="218">
        <f t="shared" si="97"/>
        <v>1.7125000000000001E-2</v>
      </c>
    </row>
    <row r="138" spans="2:34" ht="4.5" customHeight="1" x14ac:dyDescent="0.2"/>
    <row r="139" spans="2:34" x14ac:dyDescent="0.2">
      <c r="B139" s="1" t="s">
        <v>413</v>
      </c>
      <c r="J139" s="80">
        <f ca="1">+J130+J134</f>
        <v>88.569454908028035</v>
      </c>
      <c r="K139" s="80">
        <f ca="1">+K130+K134</f>
        <v>115.15275519220309</v>
      </c>
      <c r="L139" s="80">
        <f ca="1">+L130+L134</f>
        <v>141.72671317180567</v>
      </c>
      <c r="M139" s="80">
        <f ca="1">+M130+M134</f>
        <v>167.33425517271507</v>
      </c>
      <c r="Y139" s="80">
        <f t="shared" ref="Y139:AD139" ca="1" si="98">+Y130+Y134</f>
        <v>0</v>
      </c>
      <c r="Z139" s="325">
        <f t="shared" ca="1" si="98"/>
        <v>0</v>
      </c>
      <c r="AA139" s="80">
        <f t="shared" ca="1" si="98"/>
        <v>0</v>
      </c>
      <c r="AB139" s="80">
        <f t="shared" ca="1" si="98"/>
        <v>0</v>
      </c>
      <c r="AC139" s="80">
        <f t="shared" ca="1" si="98"/>
        <v>0</v>
      </c>
      <c r="AD139" s="80">
        <f t="shared" ca="1" si="98"/>
        <v>0</v>
      </c>
    </row>
    <row r="140" spans="2:34" ht="4.5" customHeight="1" x14ac:dyDescent="0.2"/>
    <row r="141" spans="2:34" ht="15" x14ac:dyDescent="0.25">
      <c r="B141" s="215" t="s">
        <v>404</v>
      </c>
      <c r="D141" s="215"/>
      <c r="E141" s="215"/>
      <c r="F141" s="215"/>
      <c r="G141" s="317"/>
      <c r="H141" s="215"/>
      <c r="I141" s="215"/>
      <c r="J141" s="215"/>
      <c r="K141" s="215"/>
      <c r="L141" s="215"/>
      <c r="M141" s="215"/>
      <c r="O141" s="215"/>
      <c r="P141" s="215"/>
      <c r="Q141" s="215"/>
      <c r="R141" s="317"/>
      <c r="S141" s="215"/>
      <c r="T141" s="215"/>
      <c r="U141" s="215"/>
      <c r="V141" s="317"/>
      <c r="W141" s="215"/>
      <c r="X141" s="215"/>
      <c r="Y141" s="215"/>
      <c r="Z141" s="317"/>
      <c r="AA141" s="215"/>
      <c r="AB141" s="215"/>
      <c r="AC141" s="215"/>
      <c r="AD141" s="215"/>
    </row>
    <row r="142" spans="2:34" x14ac:dyDescent="0.2">
      <c r="B142" s="1" t="s">
        <v>399</v>
      </c>
      <c r="I142" s="64">
        <f ca="1">AA142</f>
        <v>196.25</v>
      </c>
      <c r="J142" s="216">
        <f ca="1">I145</f>
        <v>196.25</v>
      </c>
      <c r="K142" s="216">
        <f ca="1">J145</f>
        <v>196.25</v>
      </c>
      <c r="L142" s="216">
        <f ca="1">K145</f>
        <v>196.25</v>
      </c>
      <c r="M142" s="216">
        <f ca="1">L145</f>
        <v>196.25</v>
      </c>
      <c r="O142" s="219"/>
      <c r="P142" s="219"/>
      <c r="Q142" s="219"/>
      <c r="R142" s="318"/>
      <c r="S142" s="219"/>
      <c r="T142" s="219"/>
      <c r="U142" s="219"/>
      <c r="V142" s="318"/>
      <c r="W142" s="219"/>
      <c r="X142" s="64"/>
      <c r="Y142" s="64">
        <f t="shared" ref="Y142:AD142" si="99">X145</f>
        <v>196.25</v>
      </c>
      <c r="Z142" s="243">
        <f t="shared" ca="1" si="99"/>
        <v>196.25</v>
      </c>
      <c r="AA142" s="64">
        <f t="shared" ca="1" si="99"/>
        <v>196.25</v>
      </c>
      <c r="AB142" s="64">
        <f t="shared" ca="1" si="99"/>
        <v>196.25</v>
      </c>
      <c r="AC142" s="64">
        <f t="shared" ca="1" si="99"/>
        <v>196.25</v>
      </c>
      <c r="AD142" s="64">
        <f t="shared" ca="1" si="99"/>
        <v>196.25</v>
      </c>
    </row>
    <row r="143" spans="2:34" x14ac:dyDescent="0.2">
      <c r="B143" s="1" t="s">
        <v>405</v>
      </c>
      <c r="I143" s="64">
        <v>0</v>
      </c>
      <c r="J143" s="64">
        <v>0</v>
      </c>
      <c r="K143" s="64">
        <v>0</v>
      </c>
      <c r="L143" s="64">
        <v>0</v>
      </c>
      <c r="M143" s="64">
        <v>0</v>
      </c>
      <c r="O143" s="219"/>
      <c r="P143" s="219"/>
      <c r="Q143" s="219"/>
      <c r="R143" s="318"/>
      <c r="S143" s="219"/>
      <c r="T143" s="219"/>
      <c r="U143" s="219"/>
      <c r="V143" s="318"/>
      <c r="W143" s="219"/>
      <c r="X143" s="64">
        <v>0</v>
      </c>
      <c r="Y143" s="64">
        <v>0</v>
      </c>
      <c r="Z143" s="243">
        <v>0</v>
      </c>
      <c r="AA143" s="64">
        <v>0</v>
      </c>
      <c r="AB143" s="64">
        <v>0</v>
      </c>
      <c r="AC143" s="64">
        <v>0</v>
      </c>
      <c r="AD143" s="64">
        <v>0</v>
      </c>
    </row>
    <row r="144" spans="2:34" x14ac:dyDescent="0.2">
      <c r="B144" s="1" t="s">
        <v>406</v>
      </c>
      <c r="D144" s="220">
        <v>0</v>
      </c>
      <c r="I144" s="216">
        <f ca="1">SUM(AA144:AD144)</f>
        <v>0</v>
      </c>
      <c r="J144" s="64">
        <f ca="1">-MIN(J142+J143,$D$144*J139)</f>
        <v>0</v>
      </c>
      <c r="K144" s="64">
        <f ca="1">-MIN(K142+K143,$D$144*K139)</f>
        <v>0</v>
      </c>
      <c r="L144" s="64">
        <f ca="1">-MIN(L142+L143,$D$144*L139)</f>
        <v>0</v>
      </c>
      <c r="M144" s="64">
        <f ca="1">-MIN(M142+M143,$D$144*M139)</f>
        <v>0</v>
      </c>
      <c r="O144" s="219"/>
      <c r="P144" s="219"/>
      <c r="Q144" s="219"/>
      <c r="R144" s="318"/>
      <c r="S144" s="219"/>
      <c r="T144" s="219"/>
      <c r="U144" s="219"/>
      <c r="V144" s="318"/>
      <c r="W144" s="219"/>
      <c r="X144" s="64">
        <f>-MIN(X142+X143,$D$144*X139)</f>
        <v>0</v>
      </c>
      <c r="Y144" s="64">
        <f t="shared" ref="Y144:AD144" ca="1" si="100">-MIN(Y142+Y143,$D$144*Y139)</f>
        <v>0</v>
      </c>
      <c r="Z144" s="243">
        <f t="shared" ca="1" si="100"/>
        <v>0</v>
      </c>
      <c r="AA144" s="64">
        <f t="shared" ca="1" si="100"/>
        <v>0</v>
      </c>
      <c r="AB144" s="64">
        <f t="shared" ca="1" si="100"/>
        <v>0</v>
      </c>
      <c r="AC144" s="64">
        <f t="shared" ca="1" si="100"/>
        <v>0</v>
      </c>
      <c r="AD144" s="64">
        <f t="shared" ca="1" si="100"/>
        <v>0</v>
      </c>
    </row>
    <row r="145" spans="2:34" ht="15" x14ac:dyDescent="0.25">
      <c r="B145" s="181" t="s">
        <v>401</v>
      </c>
      <c r="D145" s="181"/>
      <c r="E145" s="181"/>
      <c r="F145" s="181"/>
      <c r="G145" s="376"/>
      <c r="H145" s="182"/>
      <c r="I145" s="182">
        <f ca="1">SUM(I142:I144)</f>
        <v>196.25</v>
      </c>
      <c r="J145" s="182">
        <f ca="1">SUM(J142:J144)</f>
        <v>196.25</v>
      </c>
      <c r="K145" s="182">
        <f ca="1">SUM(K142:K144)</f>
        <v>196.25</v>
      </c>
      <c r="L145" s="182">
        <f ca="1">SUM(L142:L144)</f>
        <v>196.25</v>
      </c>
      <c r="M145" s="182">
        <f ca="1">SUM(M142:M144)</f>
        <v>196.25</v>
      </c>
      <c r="N145" s="64"/>
      <c r="O145" s="219"/>
      <c r="P145" s="219"/>
      <c r="Q145" s="219"/>
      <c r="R145" s="318"/>
      <c r="S145" s="219"/>
      <c r="T145" s="219"/>
      <c r="U145" s="219"/>
      <c r="V145" s="318"/>
      <c r="W145" s="219"/>
      <c r="X145" s="182">
        <f>E115</f>
        <v>196.25</v>
      </c>
      <c r="Y145" s="182">
        <f t="shared" ref="Y145:AD145" ca="1" si="101">SUM(Y142:Y144)</f>
        <v>196.25</v>
      </c>
      <c r="Z145" s="283">
        <f t="shared" ca="1" si="101"/>
        <v>196.25</v>
      </c>
      <c r="AA145" s="182">
        <f t="shared" ca="1" si="101"/>
        <v>196.25</v>
      </c>
      <c r="AB145" s="182">
        <f t="shared" ca="1" si="101"/>
        <v>196.25</v>
      </c>
      <c r="AC145" s="182">
        <f t="shared" ca="1" si="101"/>
        <v>196.25</v>
      </c>
      <c r="AD145" s="182">
        <f t="shared" ca="1" si="101"/>
        <v>196.25</v>
      </c>
      <c r="AE145" s="216"/>
      <c r="AF145" s="216"/>
      <c r="AG145" s="216"/>
      <c r="AH145" s="216"/>
    </row>
    <row r="146" spans="2:34" x14ac:dyDescent="0.2">
      <c r="B146" s="21" t="s">
        <v>426</v>
      </c>
      <c r="D146" s="21"/>
      <c r="E146" s="21"/>
      <c r="F146" s="21"/>
      <c r="H146" s="188"/>
      <c r="I146" s="221">
        <f>+$X$146</f>
        <v>-4.7350000000000003</v>
      </c>
      <c r="J146" s="221">
        <f>+$X$146</f>
        <v>-4.7350000000000003</v>
      </c>
      <c r="K146" s="221">
        <f>+$X$146</f>
        <v>-4.7350000000000003</v>
      </c>
      <c r="L146" s="221">
        <f>+$X$146</f>
        <v>-4.7350000000000003</v>
      </c>
      <c r="M146" s="221">
        <f>+$X$146</f>
        <v>-4.7350000000000003</v>
      </c>
      <c r="N146" s="64"/>
      <c r="O146" s="219"/>
      <c r="P146" s="219"/>
      <c r="Q146" s="219"/>
      <c r="R146" s="318"/>
      <c r="S146" s="219"/>
      <c r="T146" s="219"/>
      <c r="U146" s="219"/>
      <c r="V146" s="318"/>
      <c r="W146" s="219"/>
      <c r="X146" s="222">
        <v>-4.7350000000000003</v>
      </c>
      <c r="Y146" s="221">
        <f>+$X$146</f>
        <v>-4.7350000000000003</v>
      </c>
      <c r="Z146" s="331">
        <f t="shared" ref="Z146:AD147" si="102">+Y146</f>
        <v>-4.7350000000000003</v>
      </c>
      <c r="AA146" s="221">
        <f t="shared" si="102"/>
        <v>-4.7350000000000003</v>
      </c>
      <c r="AB146" s="221">
        <f t="shared" si="102"/>
        <v>-4.7350000000000003</v>
      </c>
      <c r="AC146" s="221">
        <f t="shared" si="102"/>
        <v>-4.7350000000000003</v>
      </c>
      <c r="AD146" s="221">
        <f t="shared" si="102"/>
        <v>-4.7350000000000003</v>
      </c>
      <c r="AE146" s="216" t="s">
        <v>425</v>
      </c>
      <c r="AF146" s="216"/>
      <c r="AG146" s="216"/>
      <c r="AH146" s="216"/>
    </row>
    <row r="147" spans="2:34" ht="15" x14ac:dyDescent="0.25">
      <c r="B147" s="21" t="s">
        <v>427</v>
      </c>
      <c r="D147" s="22"/>
      <c r="E147" s="22"/>
      <c r="F147" s="22"/>
      <c r="G147" s="378"/>
      <c r="H147" s="127"/>
      <c r="I147" s="223">
        <f>+$X$147</f>
        <v>-2</v>
      </c>
      <c r="J147" s="223">
        <f>+$X$147</f>
        <v>-2</v>
      </c>
      <c r="K147" s="223">
        <f>+$X$147</f>
        <v>-2</v>
      </c>
      <c r="L147" s="223">
        <f>+$X$147</f>
        <v>-2</v>
      </c>
      <c r="M147" s="223">
        <f>+$X$147</f>
        <v>-2</v>
      </c>
      <c r="N147" s="64"/>
      <c r="O147" s="219"/>
      <c r="P147" s="219"/>
      <c r="Q147" s="219"/>
      <c r="R147" s="318"/>
      <c r="S147" s="219"/>
      <c r="T147" s="219"/>
      <c r="U147" s="219"/>
      <c r="V147" s="318"/>
      <c r="W147" s="219"/>
      <c r="X147" s="224">
        <f>+BS!S30*-1</f>
        <v>-2</v>
      </c>
      <c r="Y147" s="223">
        <f>+$X$147</f>
        <v>-2</v>
      </c>
      <c r="Z147" s="332">
        <f t="shared" si="102"/>
        <v>-2</v>
      </c>
      <c r="AA147" s="223">
        <f t="shared" si="102"/>
        <v>-2</v>
      </c>
      <c r="AB147" s="223">
        <f t="shared" si="102"/>
        <v>-2</v>
      </c>
      <c r="AC147" s="223">
        <f t="shared" si="102"/>
        <v>-2</v>
      </c>
      <c r="AD147" s="223">
        <f t="shared" si="102"/>
        <v>-2</v>
      </c>
      <c r="AE147" s="216"/>
      <c r="AF147" s="216"/>
      <c r="AG147" s="216"/>
      <c r="AH147" s="216"/>
    </row>
    <row r="148" spans="2:34" ht="15" x14ac:dyDescent="0.25">
      <c r="B148" s="22" t="s">
        <v>424</v>
      </c>
      <c r="D148" s="22"/>
      <c r="E148" s="22"/>
      <c r="F148" s="22"/>
      <c r="G148" s="378"/>
      <c r="H148" s="127"/>
      <c r="I148" s="127">
        <f ca="1">+I145+I146+I147</f>
        <v>189.51499999999999</v>
      </c>
      <c r="J148" s="127">
        <f ca="1">+J145+J146+J147</f>
        <v>189.51499999999999</v>
      </c>
      <c r="K148" s="127">
        <f ca="1">+K145+K146+K147</f>
        <v>189.51499999999999</v>
      </c>
      <c r="L148" s="127">
        <f ca="1">+L145+L146+L147</f>
        <v>189.51499999999999</v>
      </c>
      <c r="M148" s="127">
        <f ca="1">+M145+M146+M147</f>
        <v>189.51499999999999</v>
      </c>
      <c r="N148" s="64"/>
      <c r="O148" s="219"/>
      <c r="P148" s="219"/>
      <c r="Q148" s="219"/>
      <c r="R148" s="318"/>
      <c r="S148" s="219"/>
      <c r="T148" s="219"/>
      <c r="U148" s="219"/>
      <c r="V148" s="318"/>
      <c r="W148" s="219"/>
      <c r="X148" s="127">
        <f>+X145+X146+X147</f>
        <v>189.51499999999999</v>
      </c>
      <c r="Y148" s="127">
        <f t="shared" ref="Y148:AD148" ca="1" si="103">+Y145+Y146+Y147</f>
        <v>189.51499999999999</v>
      </c>
      <c r="Z148" s="311">
        <f t="shared" ca="1" si="103"/>
        <v>189.51499999999999</v>
      </c>
      <c r="AA148" s="127">
        <f t="shared" ca="1" si="103"/>
        <v>189.51499999999999</v>
      </c>
      <c r="AB148" s="127">
        <f t="shared" ca="1" si="103"/>
        <v>189.51499999999999</v>
      </c>
      <c r="AC148" s="127">
        <f t="shared" ca="1" si="103"/>
        <v>189.51499999999999</v>
      </c>
      <c r="AD148" s="127">
        <f t="shared" ca="1" si="103"/>
        <v>189.51499999999999</v>
      </c>
      <c r="AE148" s="216"/>
      <c r="AF148" s="216"/>
      <c r="AG148" s="216"/>
      <c r="AH148" s="216"/>
    </row>
    <row r="149" spans="2:34" x14ac:dyDescent="0.2">
      <c r="B149" s="1" t="s">
        <v>402</v>
      </c>
      <c r="I149" s="216">
        <f ca="1">SUM(AA149:AD149)</f>
        <v>13.443125</v>
      </c>
      <c r="J149" s="80">
        <f ca="1">AVERAGE(J142,J145)*J150</f>
        <v>12.36375</v>
      </c>
      <c r="K149" s="80">
        <f ca="1">AVERAGE(K142,K145)*K150</f>
        <v>11.892749999999999</v>
      </c>
      <c r="L149" s="80">
        <f ca="1">AVERAGE(L142,L145)*L150</f>
        <v>11.794625</v>
      </c>
      <c r="M149" s="80">
        <f ca="1">AVERAGE(M142,M145)*M150</f>
        <v>11.932000000000002</v>
      </c>
      <c r="O149" s="219"/>
      <c r="P149" s="219"/>
      <c r="Q149" s="219"/>
      <c r="R149" s="318"/>
      <c r="S149" s="219"/>
      <c r="T149" s="219"/>
      <c r="U149" s="219"/>
      <c r="V149" s="318"/>
      <c r="W149" s="219"/>
      <c r="X149" s="64"/>
      <c r="Y149" s="64">
        <f t="shared" ref="Y149:AD149" ca="1" si="104">AVERAGE(Y142,Y145)*Y150</f>
        <v>3.3607812500000001</v>
      </c>
      <c r="Z149" s="243">
        <f t="shared" ca="1" si="104"/>
        <v>3.3607812500000001</v>
      </c>
      <c r="AA149" s="64">
        <f t="shared" ca="1" si="104"/>
        <v>3.3607812500000001</v>
      </c>
      <c r="AB149" s="64">
        <f t="shared" ca="1" si="104"/>
        <v>3.3607812500000001</v>
      </c>
      <c r="AC149" s="64">
        <f t="shared" ca="1" si="104"/>
        <v>3.3607812500000001</v>
      </c>
      <c r="AD149" s="64">
        <f t="shared" ca="1" si="104"/>
        <v>3.3607812500000001</v>
      </c>
    </row>
    <row r="150" spans="2:34" s="38" customFormat="1" x14ac:dyDescent="0.2">
      <c r="B150" s="38" t="s">
        <v>403</v>
      </c>
      <c r="G150" s="377"/>
      <c r="I150" s="218">
        <f>(I$118+($F$115/10000))</f>
        <v>6.8500000000000005E-2</v>
      </c>
      <c r="J150" s="218">
        <f>(J$118+($F$115/10000))</f>
        <v>6.3E-2</v>
      </c>
      <c r="K150" s="218">
        <f>(K$118+($F$115/10000))</f>
        <v>6.0600000000000001E-2</v>
      </c>
      <c r="L150" s="218">
        <f>(L$118+($F$115/10000))</f>
        <v>6.0100000000000001E-2</v>
      </c>
      <c r="M150" s="218">
        <f>(M$118+($F$115/10000))</f>
        <v>6.0800000000000007E-2</v>
      </c>
      <c r="O150" s="219"/>
      <c r="P150" s="219"/>
      <c r="Q150" s="219"/>
      <c r="R150" s="318"/>
      <c r="S150" s="219"/>
      <c r="T150" s="219"/>
      <c r="U150" s="219"/>
      <c r="V150" s="318"/>
      <c r="W150" s="219"/>
      <c r="Y150" s="30">
        <f t="shared" ref="Y150:AD150" si="105">(Y$118+($F$115/10000))/4</f>
        <v>1.7125000000000001E-2</v>
      </c>
      <c r="Z150" s="280">
        <f t="shared" si="105"/>
        <v>1.7125000000000001E-2</v>
      </c>
      <c r="AA150" s="30">
        <f t="shared" si="105"/>
        <v>1.7125000000000001E-2</v>
      </c>
      <c r="AB150" s="30">
        <f t="shared" si="105"/>
        <v>1.7125000000000001E-2</v>
      </c>
      <c r="AC150" s="30">
        <f t="shared" si="105"/>
        <v>1.7125000000000001E-2</v>
      </c>
      <c r="AD150" s="30">
        <f t="shared" si="105"/>
        <v>1.7125000000000001E-2</v>
      </c>
    </row>
    <row r="152" spans="2:34" x14ac:dyDescent="0.2">
      <c r="B152" s="1" t="s">
        <v>414</v>
      </c>
      <c r="I152" s="80">
        <f ca="1">SUM(I136,I149)</f>
        <v>19.048398439742293</v>
      </c>
      <c r="J152" s="80">
        <f ca="1">SUM(J136,J149)</f>
        <v>14.073042173373151</v>
      </c>
      <c r="K152" s="80">
        <f ca="1">SUM(K136,K149)</f>
        <v>11.892749999999999</v>
      </c>
      <c r="L152" s="80">
        <f ca="1">SUM(L136,L149)</f>
        <v>11.794625</v>
      </c>
      <c r="M152" s="80">
        <f ca="1">SUM(M136,M149)</f>
        <v>11.932000000000002</v>
      </c>
      <c r="X152" s="80"/>
      <c r="Y152" s="80">
        <f t="shared" ref="Y152:AD152" ca="1" si="106">SUM(Y136,Y149)</f>
        <v>4.8239086903957471</v>
      </c>
      <c r="Z152" s="325">
        <f t="shared" ca="1" si="106"/>
        <v>4.6616071631285356</v>
      </c>
      <c r="AA152" s="80">
        <f t="shared" ca="1" si="106"/>
        <v>4.6812746305266995</v>
      </c>
      <c r="AB152" s="80">
        <f t="shared" ca="1" si="106"/>
        <v>4.8416635794103478</v>
      </c>
      <c r="AC152" s="80">
        <f t="shared" ca="1" si="106"/>
        <v>4.8939649390519904</v>
      </c>
      <c r="AD152" s="80">
        <f t="shared" ca="1" si="106"/>
        <v>4.6314952907532572</v>
      </c>
    </row>
    <row r="154" spans="2:34" x14ac:dyDescent="0.2">
      <c r="B154" s="1" t="s">
        <v>423</v>
      </c>
      <c r="I154" s="64">
        <f ca="1">+I135</f>
        <v>54.263243599147671</v>
      </c>
      <c r="J154" s="64">
        <f ca="1">+J135</f>
        <v>0</v>
      </c>
      <c r="K154" s="64">
        <f ca="1">+K135</f>
        <v>0</v>
      </c>
      <c r="L154" s="64">
        <f ca="1">+L135</f>
        <v>0</v>
      </c>
      <c r="M154" s="64">
        <f ca="1">+M135</f>
        <v>0</v>
      </c>
      <c r="X154" s="64">
        <f>+X135</f>
        <v>85.14</v>
      </c>
      <c r="Y154" s="64">
        <f t="shared" ref="Y154:AD154" ca="1" si="107">+Y135</f>
        <v>85.736197418481382</v>
      </c>
      <c r="Z154" s="243">
        <f t="shared" ca="1" si="107"/>
        <v>66.185077107478932</v>
      </c>
      <c r="AA154" s="64">
        <f t="shared" ca="1" si="107"/>
        <v>88.033127917537087</v>
      </c>
      <c r="AB154" s="64">
        <f t="shared" ca="1" si="107"/>
        <v>84.916633181481558</v>
      </c>
      <c r="AC154" s="64">
        <f t="shared" ca="1" si="107"/>
        <v>94.141315904882319</v>
      </c>
      <c r="AD154" s="64">
        <f t="shared" ca="1" si="107"/>
        <v>54.263243599147671</v>
      </c>
    </row>
    <row r="155" spans="2:34" x14ac:dyDescent="0.2">
      <c r="B155" s="1" t="s">
        <v>428</v>
      </c>
      <c r="I155" s="64">
        <f ca="1">+I148</f>
        <v>189.51499999999999</v>
      </c>
      <c r="J155" s="64">
        <f ca="1">+J148</f>
        <v>189.51499999999999</v>
      </c>
      <c r="K155" s="64">
        <f ca="1">+K148</f>
        <v>189.51499999999999</v>
      </c>
      <c r="L155" s="64">
        <f ca="1">+L148</f>
        <v>189.51499999999999</v>
      </c>
      <c r="M155" s="64">
        <f ca="1">+M148</f>
        <v>189.51499999999999</v>
      </c>
      <c r="X155" s="64">
        <f>+X148</f>
        <v>189.51499999999999</v>
      </c>
      <c r="Y155" s="64">
        <f t="shared" ref="Y155:AD155" ca="1" si="108">+Y148</f>
        <v>189.51499999999999</v>
      </c>
      <c r="Z155" s="243">
        <f t="shared" ca="1" si="108"/>
        <v>189.51499999999999</v>
      </c>
      <c r="AA155" s="64">
        <f t="shared" ca="1" si="108"/>
        <v>189.51499999999999</v>
      </c>
      <c r="AB155" s="64">
        <f t="shared" ca="1" si="108"/>
        <v>189.51499999999999</v>
      </c>
      <c r="AC155" s="64">
        <f t="shared" ca="1" si="108"/>
        <v>189.51499999999999</v>
      </c>
      <c r="AD155" s="64">
        <f t="shared" ca="1" si="108"/>
        <v>189.51499999999999</v>
      </c>
    </row>
    <row r="156" spans="2:34" s="125" customFormat="1" x14ac:dyDescent="0.2">
      <c r="B156" s="568" t="s">
        <v>422</v>
      </c>
      <c r="C156" s="568"/>
      <c r="D156" s="568"/>
      <c r="E156" s="568"/>
      <c r="F156" s="568"/>
      <c r="G156" s="569"/>
      <c r="H156" s="568"/>
      <c r="I156" s="570">
        <f ca="1">+I154+I155</f>
        <v>243.77824359914766</v>
      </c>
      <c r="J156" s="570">
        <f ca="1">+J154+J155</f>
        <v>189.51499999999999</v>
      </c>
      <c r="K156" s="570">
        <f ca="1">+K154+K155</f>
        <v>189.51499999999999</v>
      </c>
      <c r="L156" s="570">
        <f ca="1">+L154+L155</f>
        <v>189.51499999999999</v>
      </c>
      <c r="M156" s="570">
        <f ca="1">+M154+M155</f>
        <v>189.51499999999999</v>
      </c>
      <c r="N156" s="568"/>
      <c r="O156" s="568"/>
      <c r="P156" s="568"/>
      <c r="Q156" s="568"/>
      <c r="R156" s="569"/>
      <c r="S156" s="568"/>
      <c r="T156" s="568"/>
      <c r="U156" s="568"/>
      <c r="V156" s="569"/>
      <c r="W156" s="568"/>
      <c r="X156" s="570">
        <f>+X154+X155</f>
        <v>274.65499999999997</v>
      </c>
      <c r="Y156" s="570">
        <f t="shared" ref="Y156:AD156" ca="1" si="109">+Y154+Y155</f>
        <v>275.25119741848135</v>
      </c>
      <c r="Z156" s="571">
        <f t="shared" ca="1" si="109"/>
        <v>255.70007710747893</v>
      </c>
      <c r="AA156" s="570">
        <f t="shared" ca="1" si="109"/>
        <v>277.54812791753704</v>
      </c>
      <c r="AB156" s="570">
        <f t="shared" ca="1" si="109"/>
        <v>274.43163318148152</v>
      </c>
      <c r="AC156" s="570">
        <f t="shared" ca="1" si="109"/>
        <v>283.65631590488232</v>
      </c>
      <c r="AD156" s="570">
        <f t="shared" ca="1" si="109"/>
        <v>243.77824359914766</v>
      </c>
    </row>
    <row r="158" spans="2:34" x14ac:dyDescent="0.2">
      <c r="B158" s="179" t="s">
        <v>415</v>
      </c>
    </row>
    <row r="160" spans="2:34" x14ac:dyDescent="0.2">
      <c r="B160" s="1" t="s">
        <v>416</v>
      </c>
      <c r="I160" s="225"/>
      <c r="J160" s="225"/>
      <c r="K160" s="225"/>
      <c r="L160" s="225"/>
      <c r="M160" s="225"/>
      <c r="X160" s="225"/>
      <c r="Y160" s="225"/>
      <c r="Z160" s="333"/>
      <c r="AA160" s="225"/>
      <c r="AB160" s="225"/>
      <c r="AC160" s="225"/>
      <c r="AD160" s="225"/>
    </row>
    <row r="161" spans="2:2" x14ac:dyDescent="0.2">
      <c r="B161" s="1" t="s">
        <v>417</v>
      </c>
    </row>
  </sheetData>
  <pageMargins left="0.7" right="0.7" top="0.75" bottom="0.75" header="0.3" footer="0.3"/>
  <pageSetup orientation="portrait" verticalDpi="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1"/>
  </sheetPr>
  <dimension ref="B2:Z50"/>
  <sheetViews>
    <sheetView workbookViewId="0"/>
  </sheetViews>
  <sheetFormatPr defaultRowHeight="14.25" outlineLevelRow="1" x14ac:dyDescent="0.2"/>
  <cols>
    <col min="1" max="1" width="9.140625" style="1"/>
    <col min="2" max="2" width="45" style="1" bestFit="1" customWidth="1"/>
    <col min="3" max="3" width="1.42578125" style="1" customWidth="1"/>
    <col min="4" max="5" width="9.140625" style="1"/>
    <col min="6" max="6" width="9.140625" style="237"/>
    <col min="7" max="12" width="9.140625" style="1"/>
    <col min="13" max="13" width="1.42578125" style="1" customWidth="1"/>
    <col min="14" max="14" width="10.5703125" style="1" bestFit="1" customWidth="1"/>
    <col min="15" max="15" width="10.28515625" style="1" bestFit="1" customWidth="1"/>
    <col min="16" max="18" width="9.140625" style="1"/>
    <col min="19" max="19" width="9.140625" style="237"/>
    <col min="20" max="16384" width="9.140625" style="1"/>
  </cols>
  <sheetData>
    <row r="2" spans="2:25" ht="15" x14ac:dyDescent="0.25">
      <c r="B2" s="143" t="s">
        <v>87</v>
      </c>
      <c r="D2" s="6" t="s">
        <v>88</v>
      </c>
      <c r="E2" s="6"/>
      <c r="F2" s="226"/>
      <c r="G2" s="6"/>
      <c r="H2" s="6"/>
      <c r="I2" s="6"/>
      <c r="J2" s="6"/>
      <c r="K2" s="6"/>
      <c r="L2" s="6"/>
      <c r="N2" s="227">
        <v>2021</v>
      </c>
      <c r="O2" s="227"/>
      <c r="P2" s="227"/>
      <c r="Q2" s="227"/>
      <c r="R2" s="227">
        <v>2022</v>
      </c>
      <c r="S2" s="296"/>
      <c r="T2" s="227"/>
      <c r="U2" s="227"/>
      <c r="V2" s="227">
        <v>2023</v>
      </c>
      <c r="W2" s="227"/>
      <c r="X2" s="227"/>
      <c r="Y2" s="227"/>
    </row>
    <row r="3" spans="2:25" ht="15" x14ac:dyDescent="0.25">
      <c r="B3" s="6"/>
      <c r="D3" s="146">
        <v>2019</v>
      </c>
      <c r="E3" s="146">
        <v>2020</v>
      </c>
      <c r="F3" s="229">
        <v>2021</v>
      </c>
      <c r="G3" s="148">
        <v>2022</v>
      </c>
      <c r="H3" s="146">
        <v>2023</v>
      </c>
      <c r="I3" s="146">
        <f>H3+1</f>
        <v>2024</v>
      </c>
      <c r="J3" s="146">
        <f>I3+1</f>
        <v>2025</v>
      </c>
      <c r="K3" s="146">
        <f>J3+1</f>
        <v>2026</v>
      </c>
      <c r="L3" s="146">
        <f>K3+1</f>
        <v>2027</v>
      </c>
      <c r="N3" s="146" t="s">
        <v>77</v>
      </c>
      <c r="O3" s="146" t="s">
        <v>78</v>
      </c>
      <c r="P3" s="146" t="s">
        <v>79</v>
      </c>
      <c r="Q3" s="146" t="s">
        <v>80</v>
      </c>
      <c r="R3" s="146" t="s">
        <v>77</v>
      </c>
      <c r="S3" s="229" t="s">
        <v>78</v>
      </c>
      <c r="T3" s="148" t="s">
        <v>79</v>
      </c>
      <c r="U3" s="146" t="s">
        <v>80</v>
      </c>
      <c r="V3" s="146" t="s">
        <v>77</v>
      </c>
      <c r="W3" s="146" t="s">
        <v>78</v>
      </c>
      <c r="X3" s="146" t="s">
        <v>79</v>
      </c>
      <c r="Y3" s="146" t="s">
        <v>80</v>
      </c>
    </row>
    <row r="4" spans="2:25" ht="15" x14ac:dyDescent="0.25">
      <c r="B4" s="6"/>
      <c r="D4" s="149">
        <v>43818</v>
      </c>
      <c r="E4" s="149">
        <v>44185</v>
      </c>
      <c r="F4" s="232">
        <v>44551</v>
      </c>
      <c r="G4" s="151">
        <v>44917</v>
      </c>
      <c r="H4" s="149">
        <v>45283</v>
      </c>
      <c r="I4" s="149">
        <v>45649</v>
      </c>
      <c r="J4" s="149">
        <v>46014</v>
      </c>
      <c r="K4" s="149">
        <v>46379</v>
      </c>
      <c r="L4" s="149">
        <v>46744</v>
      </c>
      <c r="N4" s="149">
        <v>44639</v>
      </c>
      <c r="O4" s="149">
        <v>44731</v>
      </c>
      <c r="P4" s="149">
        <v>44823</v>
      </c>
      <c r="Q4" s="149">
        <v>44914</v>
      </c>
      <c r="R4" s="149">
        <v>44640</v>
      </c>
      <c r="S4" s="232">
        <v>44732</v>
      </c>
      <c r="T4" s="151">
        <v>44824</v>
      </c>
      <c r="U4" s="149">
        <v>44915</v>
      </c>
      <c r="V4" s="149">
        <v>45006</v>
      </c>
      <c r="W4" s="149">
        <v>45098</v>
      </c>
      <c r="X4" s="149">
        <v>45190</v>
      </c>
      <c r="Y4" s="149">
        <v>45281</v>
      </c>
    </row>
    <row r="5" spans="2:25" ht="15" x14ac:dyDescent="0.25">
      <c r="B5" s="6" t="s">
        <v>4</v>
      </c>
      <c r="D5" s="152" t="s">
        <v>90</v>
      </c>
      <c r="E5" s="152" t="s">
        <v>90</v>
      </c>
      <c r="F5" s="235" t="s">
        <v>90</v>
      </c>
      <c r="G5" s="154" t="s">
        <v>91</v>
      </c>
      <c r="H5" s="152" t="s">
        <v>91</v>
      </c>
      <c r="I5" s="152" t="s">
        <v>91</v>
      </c>
      <c r="J5" s="152" t="s">
        <v>91</v>
      </c>
      <c r="K5" s="152" t="s">
        <v>91</v>
      </c>
      <c r="L5" s="152" t="s">
        <v>91</v>
      </c>
      <c r="N5" s="152" t="s">
        <v>90</v>
      </c>
      <c r="O5" s="152" t="s">
        <v>90</v>
      </c>
      <c r="P5" s="152" t="s">
        <v>90</v>
      </c>
      <c r="Q5" s="152" t="s">
        <v>90</v>
      </c>
      <c r="R5" s="152" t="s">
        <v>90</v>
      </c>
      <c r="S5" s="235" t="s">
        <v>90</v>
      </c>
      <c r="T5" s="235" t="s">
        <v>91</v>
      </c>
      <c r="U5" s="235" t="s">
        <v>91</v>
      </c>
      <c r="V5" s="235" t="s">
        <v>91</v>
      </c>
      <c r="W5" s="235" t="s">
        <v>91</v>
      </c>
      <c r="X5" s="235" t="s">
        <v>91</v>
      </c>
      <c r="Y5" s="235" t="s">
        <v>91</v>
      </c>
    </row>
    <row r="7" spans="2:25" x14ac:dyDescent="0.2">
      <c r="B7" s="179" t="s">
        <v>302</v>
      </c>
    </row>
    <row r="8" spans="2:25" x14ac:dyDescent="0.2">
      <c r="B8" s="1" t="s">
        <v>102</v>
      </c>
      <c r="D8" s="19">
        <f>IS!E56</f>
        <v>25.143000000000004</v>
      </c>
      <c r="E8" s="19">
        <f>IS!F56</f>
        <v>33.766000000000012</v>
      </c>
      <c r="F8" s="290">
        <f>SUM(N8:Q8)</f>
        <v>3.944</v>
      </c>
      <c r="G8" s="19">
        <f ca="1">IS!H56</f>
        <v>24.662314065715819</v>
      </c>
      <c r="H8" s="19">
        <f ca="1">IS!I56</f>
        <v>58.083616002603598</v>
      </c>
      <c r="I8" s="19">
        <f ca="1">IS!J56</f>
        <v>87.605652560410221</v>
      </c>
      <c r="J8" s="19">
        <f ca="1">IS!K56</f>
        <v>115.60045439146884</v>
      </c>
      <c r="K8" s="19">
        <f ca="1">IS!L56</f>
        <v>141.70894408268762</v>
      </c>
      <c r="L8" s="19">
        <f ca="1">IS!M56</f>
        <v>165.55903930047199</v>
      </c>
      <c r="N8" s="19">
        <v>-8.3339999999999996</v>
      </c>
      <c r="O8" s="19">
        <f>0.82-N8</f>
        <v>9.1539999999999999</v>
      </c>
      <c r="P8" s="19">
        <f>6.096-SUM(N8:O8)</f>
        <v>5.2759999999999998</v>
      </c>
      <c r="Q8" s="19">
        <f>3.944-SUM(N8:P8)</f>
        <v>-2.1520000000000001</v>
      </c>
      <c r="R8" s="19">
        <f>4.649</f>
        <v>4.649</v>
      </c>
      <c r="S8" s="290">
        <f>11.952-R8</f>
        <v>7.3029999999999999</v>
      </c>
      <c r="T8" s="19">
        <f ca="1">IS!Y56</f>
        <v>9.2253745545873613</v>
      </c>
      <c r="U8" s="19">
        <f ca="1">IS!Z56</f>
        <v>3.4849395111284567</v>
      </c>
      <c r="V8" s="19">
        <f ca="1">IS!AA56</f>
        <v>12.889857887508903</v>
      </c>
      <c r="W8" s="19">
        <f ca="1">IS!AB56</f>
        <v>13.767566492890817</v>
      </c>
      <c r="X8" s="19">
        <f ca="1">IS!AC56</f>
        <v>20.378001018773926</v>
      </c>
      <c r="Y8" s="19">
        <f ca="1">IS!AD56</f>
        <v>11.048190603429928</v>
      </c>
    </row>
    <row r="9" spans="2:25" x14ac:dyDescent="0.2">
      <c r="B9" s="1" t="s">
        <v>107</v>
      </c>
      <c r="D9" s="64">
        <f>SUM(IS!E45:'IS'!E46)</f>
        <v>9.1630000000000003</v>
      </c>
      <c r="E9" s="64">
        <f>SUM(IS!F45:'IS'!F46)</f>
        <v>9.4050000000000011</v>
      </c>
      <c r="F9" s="243">
        <f>SUM(N9:Q9)</f>
        <v>10.053000000000001</v>
      </c>
      <c r="G9" s="64">
        <f>SUM(IS!H45:'IS'!H46)</f>
        <v>11.945103999999999</v>
      </c>
      <c r="H9" s="64">
        <f>SUM(IS!I45:'IS'!I46)</f>
        <v>12.81039825</v>
      </c>
      <c r="I9" s="64">
        <f>SUM(IS!J45:'IS'!J46)</f>
        <v>13.558644924999999</v>
      </c>
      <c r="J9" s="64">
        <f>SUM(IS!K45:'IS'!K46)</f>
        <v>14.933708631250001</v>
      </c>
      <c r="K9" s="64">
        <f>SUM(IS!L45:'IS'!L46)</f>
        <v>16.614342050000001</v>
      </c>
      <c r="L9" s="64">
        <f>SUM(IS!M45:'IS'!M46)</f>
        <v>17.455079695625003</v>
      </c>
      <c r="M9" s="64"/>
      <c r="N9" s="64">
        <v>2.4009999999999998</v>
      </c>
      <c r="O9" s="64">
        <f>4.808-N9</f>
        <v>2.407</v>
      </c>
      <c r="P9" s="64">
        <f>7.345-SUM(N9:O9)</f>
        <v>2.5369999999999999</v>
      </c>
      <c r="Q9" s="64">
        <f>10.053-SUM(N9:P9)</f>
        <v>2.7080000000000011</v>
      </c>
      <c r="R9" s="64">
        <f>2.694</f>
        <v>2.694</v>
      </c>
      <c r="S9" s="243">
        <f>5.402-R9</f>
        <v>2.7080000000000002</v>
      </c>
      <c r="T9" s="64">
        <f>SUM(IS!Y45:'IS'!Y46)</f>
        <v>3.2715519999999998</v>
      </c>
      <c r="U9" s="64">
        <f>SUM(IS!Z45:'IS'!Z46)</f>
        <v>3.2715519999999998</v>
      </c>
      <c r="V9" s="64">
        <f>SUM(IS!AA45:'IS'!AA46)</f>
        <v>3.2025995625000001</v>
      </c>
      <c r="W9" s="64">
        <f>SUM(IS!AB45:'IS'!AB46)</f>
        <v>3.2025995625000001</v>
      </c>
      <c r="X9" s="64">
        <f>SUM(IS!AC45:'IS'!AC46)</f>
        <v>3.2025995625000001</v>
      </c>
      <c r="Y9" s="64">
        <f>SUM(IS!AD45:'IS'!AD46)</f>
        <v>3.2025995625000001</v>
      </c>
    </row>
    <row r="10" spans="2:25" x14ac:dyDescent="0.2">
      <c r="B10" s="1" t="s">
        <v>101</v>
      </c>
      <c r="D10" s="64">
        <f>IS!E47</f>
        <v>3.7999999999999999E-2</v>
      </c>
      <c r="E10" s="64">
        <f>IS!F47</f>
        <v>0.35099999999999998</v>
      </c>
      <c r="F10" s="243">
        <f>SUM(N10:Q10)</f>
        <v>5.9690000000000003</v>
      </c>
      <c r="G10" s="64">
        <f>IS!H47</f>
        <v>0.68400000000000005</v>
      </c>
      <c r="H10" s="64">
        <f>IS!I47</f>
        <v>0</v>
      </c>
      <c r="I10" s="64">
        <f>IS!J47</f>
        <v>0</v>
      </c>
      <c r="J10" s="64">
        <f>IS!K47</f>
        <v>0</v>
      </c>
      <c r="K10" s="64">
        <f>IS!L47</f>
        <v>0</v>
      </c>
      <c r="L10" s="64">
        <f>IS!M47</f>
        <v>0</v>
      </c>
      <c r="M10" s="64"/>
      <c r="N10" s="64">
        <v>5.1100000000000003</v>
      </c>
      <c r="O10" s="64">
        <f>5.415-N10</f>
        <v>0.30499999999999972</v>
      </c>
      <c r="P10" s="64">
        <f>5.692-SUM(N10:O10)</f>
        <v>0.27700000000000014</v>
      </c>
      <c r="Q10" s="64">
        <f>5.969-SUM(N10:P10)</f>
        <v>0.27700000000000014</v>
      </c>
      <c r="R10" s="64">
        <f>0.276</f>
        <v>0.27600000000000002</v>
      </c>
      <c r="S10" s="243">
        <f>0.684-R10</f>
        <v>0.40800000000000003</v>
      </c>
      <c r="T10" s="64">
        <f>IS!Y47</f>
        <v>0</v>
      </c>
      <c r="U10" s="64">
        <f>IS!Z47</f>
        <v>0</v>
      </c>
      <c r="V10" s="64">
        <f>IS!AA47</f>
        <v>0</v>
      </c>
      <c r="W10" s="64">
        <f>IS!AB47</f>
        <v>0</v>
      </c>
      <c r="X10" s="64">
        <f>IS!AC47</f>
        <v>0</v>
      </c>
      <c r="Y10" s="64">
        <f>IS!AD47</f>
        <v>0</v>
      </c>
    </row>
    <row r="11" spans="2:25" x14ac:dyDescent="0.2">
      <c r="B11" s="1" t="s">
        <v>104</v>
      </c>
      <c r="D11" s="64">
        <f>IS!E50</f>
        <v>0</v>
      </c>
      <c r="E11" s="64">
        <f>IS!F50</f>
        <v>8.2509999999999994</v>
      </c>
      <c r="F11" s="243">
        <f>SUM(N11:Q11)</f>
        <v>11.286</v>
      </c>
      <c r="G11" s="64">
        <f>IS!H50</f>
        <v>16.840948251462784</v>
      </c>
      <c r="H11" s="64">
        <f>IS!I50</f>
        <v>25.990553228330384</v>
      </c>
      <c r="I11" s="64">
        <f>IS!J50</f>
        <v>25.990553228330384</v>
      </c>
      <c r="J11" s="64">
        <f>IS!K50</f>
        <v>25.990553228330384</v>
      </c>
      <c r="K11" s="64">
        <f>IS!L50</f>
        <v>25.990553228330384</v>
      </c>
      <c r="L11" s="64">
        <f>IS!M50</f>
        <v>25.990553228330384</v>
      </c>
      <c r="M11" s="64"/>
      <c r="N11" s="64">
        <v>1.3919999999999999</v>
      </c>
      <c r="O11" s="64">
        <f>4.172-N11</f>
        <v>2.78</v>
      </c>
      <c r="P11" s="64">
        <f>6.404-SUM(N11:O11)</f>
        <v>2.2320000000000002</v>
      </c>
      <c r="Q11" s="64">
        <f>11.286-SUM(N11:P11)</f>
        <v>4.8819999999999997</v>
      </c>
      <c r="R11" s="64">
        <v>3.831</v>
      </c>
      <c r="S11" s="243">
        <f>7.896-R11</f>
        <v>4.0649999999999995</v>
      </c>
      <c r="T11" s="64">
        <f>IS!Y50</f>
        <v>4.9625102735065996</v>
      </c>
      <c r="U11" s="64">
        <f>IS!Z50</f>
        <v>3.9844379779561838</v>
      </c>
      <c r="V11" s="64">
        <f>IS!AA50</f>
        <v>5.8251334385630695</v>
      </c>
      <c r="W11" s="64">
        <f>IS!AB50</f>
        <v>6.2976499999999991</v>
      </c>
      <c r="X11" s="64">
        <f>IS!AC50</f>
        <v>7.6918909239352296</v>
      </c>
      <c r="Y11" s="64">
        <f>IS!AD50</f>
        <v>6.1758788658320851</v>
      </c>
    </row>
    <row r="12" spans="2:25" x14ac:dyDescent="0.2">
      <c r="B12" s="1" t="s">
        <v>369</v>
      </c>
      <c r="D12" s="64">
        <f>SUM('CF FY18-20'!C9)/1000</f>
        <v>0.30099999999999999</v>
      </c>
      <c r="E12" s="64">
        <f>SUM('CF FY18-20'!B9)/1000</f>
        <v>0.188</v>
      </c>
      <c r="F12" s="291">
        <f>SUM(N12:Q12)</f>
        <v>-1.1790000000000003</v>
      </c>
      <c r="G12" s="81">
        <f>SUM(R12:U12)</f>
        <v>3.29</v>
      </c>
      <c r="H12" s="81">
        <f>SUM(V12:Y12)</f>
        <v>0</v>
      </c>
      <c r="I12" s="64">
        <v>0</v>
      </c>
      <c r="J12" s="64">
        <v>0</v>
      </c>
      <c r="K12" s="64">
        <v>0</v>
      </c>
      <c r="L12" s="64">
        <v>0</v>
      </c>
      <c r="M12" s="64"/>
      <c r="N12" s="64">
        <f>0.557+0.061</f>
        <v>0.6180000000000001</v>
      </c>
      <c r="O12" s="64">
        <f>1.664+0.061-0.524-N12</f>
        <v>0.58299999999999974</v>
      </c>
      <c r="P12" s="64">
        <f>(0.435+0.64+3.678+0.061)-SUM(N12:O12)</f>
        <v>3.6130000000000004</v>
      </c>
      <c r="Q12" s="64">
        <f>-1.418-1.476+1.663+0.052-SUM(N12:P12)</f>
        <v>-5.9930000000000003</v>
      </c>
      <c r="R12" s="64">
        <f>1.419</f>
        <v>1.419</v>
      </c>
      <c r="S12" s="243">
        <f>0.443+2.847-R12</f>
        <v>1.871</v>
      </c>
      <c r="T12" s="64">
        <v>0</v>
      </c>
      <c r="U12" s="64">
        <v>0</v>
      </c>
      <c r="V12" s="64">
        <v>0</v>
      </c>
      <c r="W12" s="64">
        <v>0</v>
      </c>
      <c r="X12" s="64">
        <v>0</v>
      </c>
      <c r="Y12" s="64">
        <v>0</v>
      </c>
    </row>
    <row r="13" spans="2:25" x14ac:dyDescent="0.2">
      <c r="D13" s="64"/>
      <c r="E13" s="64"/>
      <c r="F13" s="291"/>
      <c r="G13" s="81"/>
      <c r="H13" s="81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243"/>
      <c r="T13" s="64"/>
      <c r="U13" s="64"/>
      <c r="V13" s="64"/>
      <c r="W13" s="64"/>
      <c r="X13" s="64"/>
      <c r="Y13" s="64"/>
    </row>
    <row r="14" spans="2:25" x14ac:dyDescent="0.2">
      <c r="B14" s="1" t="s">
        <v>303</v>
      </c>
      <c r="D14" s="64"/>
      <c r="E14" s="64"/>
      <c r="F14" s="243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243"/>
      <c r="T14" s="64"/>
      <c r="U14" s="64"/>
      <c r="V14" s="64"/>
      <c r="W14" s="64"/>
      <c r="X14" s="64"/>
      <c r="Y14" s="64"/>
    </row>
    <row r="15" spans="2:25" x14ac:dyDescent="0.2">
      <c r="B15" s="1" t="s">
        <v>304</v>
      </c>
      <c r="D15" s="64">
        <f>'CF FY18-20'!C11/1000</f>
        <v>-0.47299999999999998</v>
      </c>
      <c r="E15" s="64">
        <f>BS!D11-BS!E11</f>
        <v>0.28800000000000026</v>
      </c>
      <c r="F15" s="243">
        <f t="shared" ref="F15:F20" si="0">SUM(N15:Q15)</f>
        <v>0.81799999999999962</v>
      </c>
      <c r="G15" s="64">
        <f>BS!F11-BS!G11</f>
        <v>-13.25617808219177</v>
      </c>
      <c r="H15" s="64">
        <f>BS!G11-BS!H11</f>
        <v>-22.377589041095881</v>
      </c>
      <c r="I15" s="64">
        <f>BS!H11-BS!I11</f>
        <v>-16.356225363051166</v>
      </c>
      <c r="J15" s="64">
        <f>BS!I11-BS!J11</f>
        <v>-21.158169328729699</v>
      </c>
      <c r="K15" s="64">
        <f>BS!J11-BS!K11</f>
        <v>-20.929432363013689</v>
      </c>
      <c r="L15" s="64">
        <f>BS!K11-BS!L11</f>
        <v>-18.836489126712323</v>
      </c>
      <c r="M15" s="64"/>
      <c r="N15" s="64">
        <v>-1.1339999999999999</v>
      </c>
      <c r="O15" s="64">
        <f>-15.973-N15</f>
        <v>-14.839</v>
      </c>
      <c r="P15" s="64">
        <f>-12.271-SUM(N15:O15)</f>
        <v>3.702</v>
      </c>
      <c r="Q15" s="64">
        <f>0.818-SUM(N15:P15)</f>
        <v>13.089</v>
      </c>
      <c r="R15" s="64">
        <f>-25.388</f>
        <v>-25.388000000000002</v>
      </c>
      <c r="S15" s="243">
        <f>-26.259-R15</f>
        <v>-0.87099999999999866</v>
      </c>
      <c r="T15" s="64">
        <f>BS!S11-BS!T11</f>
        <v>2.0856301369862962</v>
      </c>
      <c r="U15" s="64">
        <f>BS!T11-BS!U11</f>
        <v>10.986191780821933</v>
      </c>
      <c r="V15" s="64">
        <f>BS!U11-BS!V11</f>
        <v>-18.564931506849319</v>
      </c>
      <c r="W15" s="64">
        <f>BS!V11-BS!W11</f>
        <v>-4.949289318062732</v>
      </c>
      <c r="X15" s="64">
        <f>BS!W11-BS!X11</f>
        <v>-15.342655887416726</v>
      </c>
      <c r="Y15" s="64">
        <f>BS!X11-BS!Y11</f>
        <v>16.479287671232896</v>
      </c>
    </row>
    <row r="16" spans="2:25" x14ac:dyDescent="0.2">
      <c r="B16" s="1" t="s">
        <v>305</v>
      </c>
      <c r="D16" s="64">
        <f>'CF FY18-20'!C12/1000</f>
        <v>-1.345</v>
      </c>
      <c r="E16" s="64">
        <f>BS!D12-BS!E12</f>
        <v>-1.2890000000000001</v>
      </c>
      <c r="F16" s="243">
        <f t="shared" si="0"/>
        <v>-9.7390000000000008</v>
      </c>
      <c r="G16" s="64">
        <f>BS!F12-BS!G12</f>
        <v>0.36971232876712534</v>
      </c>
      <c r="H16" s="64">
        <f>BS!G12-BS!H12</f>
        <v>-6.581643835616438</v>
      </c>
      <c r="I16" s="64">
        <f>BS!H12-BS!I12</f>
        <v>-5.301766239052327</v>
      </c>
      <c r="J16" s="64">
        <f>BS!I12-BS!J12</f>
        <v>-6.3474507986189117</v>
      </c>
      <c r="K16" s="64">
        <f>BS!J12-BS!K12</f>
        <v>-6.2788297089041087</v>
      </c>
      <c r="L16" s="64">
        <f>BS!K12-BS!L12</f>
        <v>-5.650946738013694</v>
      </c>
      <c r="M16" s="64"/>
      <c r="N16" s="64">
        <v>-6.2009999999999996</v>
      </c>
      <c r="O16" s="64">
        <f>-3.003-N16</f>
        <v>3.1979999999999995</v>
      </c>
      <c r="P16" s="64">
        <f>-6.76-SUM(N16:O16)</f>
        <v>-3.7569999999999997</v>
      </c>
      <c r="Q16" s="64">
        <f>-9.739-SUM(N16:P16)</f>
        <v>-2.979000000000001</v>
      </c>
      <c r="R16" s="64">
        <v>-2.6160000000000001</v>
      </c>
      <c r="S16" s="243">
        <f>-1.047-R16</f>
        <v>1.5690000000000002</v>
      </c>
      <c r="T16" s="64">
        <f>BS!S12-BS!T12</f>
        <v>-1.8145205479452056</v>
      </c>
      <c r="U16" s="64">
        <f>BS!T12-BS!U12</f>
        <v>3.2312328767123315</v>
      </c>
      <c r="V16" s="64">
        <f>BS!U12-BS!V12</f>
        <v>-5.4602739726027405</v>
      </c>
      <c r="W16" s="64">
        <f>BS!V12-BS!W12</f>
        <v>-1.4556733288419821</v>
      </c>
      <c r="X16" s="64">
        <f>BS!W12-BS!X12</f>
        <v>-4.5125458492402117</v>
      </c>
      <c r="Y16" s="64">
        <f>BS!X12-BS!Y12</f>
        <v>4.8468493150684964</v>
      </c>
    </row>
    <row r="17" spans="2:25" x14ac:dyDescent="0.2">
      <c r="B17" s="1" t="s">
        <v>214</v>
      </c>
      <c r="D17" s="64">
        <f>'CF FY18-20'!C13/1000</f>
        <v>-0.69399999999999995</v>
      </c>
      <c r="E17" s="64">
        <f>BS!D13-BS!E13-E12</f>
        <v>-6.4750000000000005</v>
      </c>
      <c r="F17" s="243">
        <f t="shared" si="0"/>
        <v>-17.187999999999999</v>
      </c>
      <c r="G17" s="64">
        <f>BS!F13-BS!G13</f>
        <v>-14.436931506849341</v>
      </c>
      <c r="H17" s="64">
        <f>BS!G13-BS!H13</f>
        <v>-21.238561643835567</v>
      </c>
      <c r="I17" s="64">
        <f>BS!H13-BS!I13</f>
        <v>11.426748785930805</v>
      </c>
      <c r="J17" s="64">
        <f>BS!I13-BS!J13</f>
        <v>-16.182568481992469</v>
      </c>
      <c r="K17" s="64">
        <f>BS!J13-BS!K13</f>
        <v>-16.13659235188355</v>
      </c>
      <c r="L17" s="64">
        <f>BS!K13-BS!L13</f>
        <v>-14.673625029708901</v>
      </c>
      <c r="M17" s="64"/>
      <c r="N17" s="64">
        <v>-5.9710000000000001</v>
      </c>
      <c r="O17" s="64">
        <f>-6.151-N17</f>
        <v>-0.17999999999999972</v>
      </c>
      <c r="P17" s="64">
        <f>-8.505-SUM(N17:O17)</f>
        <v>-2.354000000000001</v>
      </c>
      <c r="Q17" s="64">
        <f>-17.188-SUM(N17:P17)</f>
        <v>-8.6829999999999981</v>
      </c>
      <c r="R17" s="64">
        <f>-11.111</f>
        <v>-11.111000000000001</v>
      </c>
      <c r="S17" s="243">
        <f>-27.404-R17</f>
        <v>-16.292999999999999</v>
      </c>
      <c r="T17" s="64">
        <f>BS!S13-BS!T13</f>
        <v>2.3785342465753487</v>
      </c>
      <c r="U17" s="64">
        <f>BS!T13-BS!U13</f>
        <v>9.777534246575307</v>
      </c>
      <c r="V17" s="64">
        <f>BS!U13-BS!V13</f>
        <v>-15.716712328767088</v>
      </c>
      <c r="W17" s="64">
        <f>BS!V13-BS!W13</f>
        <v>-5.0799955086458652</v>
      </c>
      <c r="X17" s="64">
        <f>BS!W13-BS!X13</f>
        <v>-18.617538737929479</v>
      </c>
      <c r="Y17" s="64">
        <f>BS!X13-BS!Y13</f>
        <v>18.175684931506865</v>
      </c>
    </row>
    <row r="18" spans="2:25" x14ac:dyDescent="0.2">
      <c r="B18" s="1" t="s">
        <v>285</v>
      </c>
      <c r="D18" s="64">
        <f>'CF FY18-20'!C14/1000</f>
        <v>0.13700000000000001</v>
      </c>
      <c r="E18" s="64">
        <f>BS!D14-BS!E14</f>
        <v>0.64300000000000002</v>
      </c>
      <c r="F18" s="243">
        <f t="shared" si="0"/>
        <v>0.34100000000000019</v>
      </c>
      <c r="G18" s="64">
        <f>BS!F14-BS!G14</f>
        <v>-2.1648999999999985</v>
      </c>
      <c r="H18" s="64">
        <f>BS!G14-BS!H14</f>
        <v>-3.6034499999999996</v>
      </c>
      <c r="I18" s="64">
        <f>BS!H14-BS!I14</f>
        <v>-7.5238327500000022</v>
      </c>
      <c r="J18" s="64">
        <f>BS!I14-BS!J14</f>
        <v>-4.5835456875000027</v>
      </c>
      <c r="K18" s="64">
        <f>BS!J14-BS!K14</f>
        <v>-4.5835456874999991</v>
      </c>
      <c r="L18" s="64">
        <f>BS!K14-BS!L14</f>
        <v>-4.1251911187499992</v>
      </c>
      <c r="M18" s="64"/>
      <c r="N18" s="180">
        <v>-3.4649999999999999</v>
      </c>
      <c r="O18" s="64">
        <f>-4.631-N18</f>
        <v>-1.1660000000000004</v>
      </c>
      <c r="P18" s="64">
        <f>-6.904-SUM(N18:O18)</f>
        <v>-2.2729999999999997</v>
      </c>
      <c r="Q18" s="64">
        <f>0.341-SUM(N18:P18)</f>
        <v>7.2450000000000001</v>
      </c>
      <c r="R18" s="64">
        <f>-3.421</f>
        <v>-3.4209999999999998</v>
      </c>
      <c r="S18" s="243">
        <f>-2.059-R18</f>
        <v>1.3619999999999997</v>
      </c>
      <c r="T18" s="64">
        <f>BS!S14-BS!T14</f>
        <v>-0.14900000000000091</v>
      </c>
      <c r="U18" s="64">
        <f>BS!T14-BS!U14</f>
        <v>1.7691000000000026</v>
      </c>
      <c r="V18" s="64">
        <f>BS!U14-BS!V14</f>
        <v>-2.9895000000000005</v>
      </c>
      <c r="W18" s="64">
        <f>BS!V14-BS!W14</f>
        <v>-0.82709999999999972</v>
      </c>
      <c r="X18" s="64">
        <f>BS!W14-BS!X14</f>
        <v>-2.4405000000000019</v>
      </c>
      <c r="Y18" s="64">
        <f>BS!X14-BS!Y14</f>
        <v>2.6536500000000025</v>
      </c>
    </row>
    <row r="19" spans="2:25" x14ac:dyDescent="0.2">
      <c r="B19" s="1" t="s">
        <v>291</v>
      </c>
      <c r="D19" s="64">
        <f>'CF FY18-20'!C15/1000</f>
        <v>4.1950000000000003</v>
      </c>
      <c r="E19" s="64">
        <f>BS!E27-BS!D27</f>
        <v>4.2510000000000012</v>
      </c>
      <c r="F19" s="243">
        <f t="shared" si="0"/>
        <v>-3.8769999999999998</v>
      </c>
      <c r="G19" s="64">
        <f>BS!G27-BS!F27</f>
        <v>-2.383356164383553</v>
      </c>
      <c r="H19" s="64">
        <f>BS!H27-BS!G27</f>
        <v>7.0795205479451901</v>
      </c>
      <c r="I19" s="64">
        <f>BS!I27-BS!H27</f>
        <v>17.063331859607771</v>
      </c>
      <c r="J19" s="64">
        <f>BS!J27-BS!I27</f>
        <v>10.788378987994975</v>
      </c>
      <c r="K19" s="64">
        <f>BS!K27-BS!J27</f>
        <v>10.757728234589031</v>
      </c>
      <c r="L19" s="64">
        <f>BS!L27-BS!K27</f>
        <v>9.7824166864725939</v>
      </c>
      <c r="M19" s="64"/>
      <c r="N19" s="180">
        <v>-1.6930000000000001</v>
      </c>
      <c r="O19" s="64">
        <f>-0.41-N19</f>
        <v>1.2830000000000001</v>
      </c>
      <c r="P19" s="64">
        <f>-5.198-SUM(N19:O19)</f>
        <v>-4.7880000000000003</v>
      </c>
      <c r="Q19" s="64">
        <f>-3.877-SUM(N19:P19)</f>
        <v>1.3210000000000006</v>
      </c>
      <c r="R19" s="64">
        <f>-2.106</f>
        <v>-2.1059999999999999</v>
      </c>
      <c r="S19" s="243">
        <f>4.06-R19</f>
        <v>6.1659999999999995</v>
      </c>
      <c r="T19" s="64">
        <f>BS!T27-BS!S27</f>
        <v>-3.3971780821917825</v>
      </c>
      <c r="U19" s="64">
        <f>BS!U27-BS!T27</f>
        <v>-3.2591780821917702</v>
      </c>
      <c r="V19" s="64">
        <f>BS!V27-BS!U27</f>
        <v>5.2389041095890292</v>
      </c>
      <c r="W19" s="64">
        <f>BS!W27-BS!V27</f>
        <v>1.6933318362152896</v>
      </c>
      <c r="X19" s="64">
        <f>BS!X27-BS!W27</f>
        <v>6.2058462459764954</v>
      </c>
      <c r="Y19" s="64">
        <f>BS!Y27-BS!X27</f>
        <v>-6.058561643835624</v>
      </c>
    </row>
    <row r="20" spans="2:25" x14ac:dyDescent="0.2">
      <c r="B20" s="1" t="s">
        <v>292</v>
      </c>
      <c r="D20" s="64">
        <f>'CF FY18-20'!C16/1000</f>
        <v>-0.28299999999999997</v>
      </c>
      <c r="E20" s="64">
        <f>BS!E28-BS!D28</f>
        <v>4.7029999999999994</v>
      </c>
      <c r="F20" s="243">
        <f t="shared" si="0"/>
        <v>-4.5109999999999992</v>
      </c>
      <c r="G20" s="64">
        <f>BS!G28-BS!F28</f>
        <v>6.4925000000000086</v>
      </c>
      <c r="H20" s="64">
        <f>BS!H28-BS!G28</f>
        <v>6.4600624999999852</v>
      </c>
      <c r="I20" s="64">
        <f>BS!I28-BS!H28</f>
        <v>32.480985750000009</v>
      </c>
      <c r="J20" s="64">
        <f>BS!J28-BS!I28</f>
        <v>13.750637062500005</v>
      </c>
      <c r="K20" s="64">
        <f>BS!K28-BS!J28</f>
        <v>13.750637062500005</v>
      </c>
      <c r="L20" s="64">
        <f>BS!L28-BS!K28</f>
        <v>12.375573356249987</v>
      </c>
      <c r="M20" s="64"/>
      <c r="N20" s="180">
        <v>-0.502</v>
      </c>
      <c r="O20" s="64">
        <f>-0.362-N20</f>
        <v>0.14000000000000001</v>
      </c>
      <c r="P20" s="64">
        <f>2.608-SUM(N20:O20)</f>
        <v>2.97</v>
      </c>
      <c r="Q20" s="64">
        <f>-4.511-SUM(N20:P20)</f>
        <v>-7.1189999999999998</v>
      </c>
      <c r="R20" s="64">
        <v>5.9139999999999997</v>
      </c>
      <c r="S20" s="243">
        <f>16.742-R20</f>
        <v>10.828000000000001</v>
      </c>
      <c r="T20" s="64">
        <f>BS!T28-BS!S28</f>
        <v>-6.2615000000000016</v>
      </c>
      <c r="U20" s="64">
        <f>BS!U28-BS!T28</f>
        <v>-2.9739999999999895</v>
      </c>
      <c r="V20" s="64">
        <f>BS!V28-BS!U28</f>
        <v>4.7804999999999893</v>
      </c>
      <c r="W20" s="64">
        <f>BS!W28-BS!V28</f>
        <v>1.6065000000000005</v>
      </c>
      <c r="X20" s="64">
        <f>BS!X28-BS!W28</f>
        <v>5.6015000000000015</v>
      </c>
      <c r="Y20" s="64">
        <f>BS!Y28-BS!X28</f>
        <v>-5.5284375000000061</v>
      </c>
    </row>
    <row r="21" spans="2:25" ht="15" x14ac:dyDescent="0.25">
      <c r="B21" s="249" t="s">
        <v>306</v>
      </c>
      <c r="C21" s="73"/>
      <c r="D21" s="259">
        <f t="shared" ref="D21:L21" si="1">SUM(D8:D12,D15:D20)</f>
        <v>36.182000000000002</v>
      </c>
      <c r="E21" s="259">
        <f t="shared" si="1"/>
        <v>54.082000000000008</v>
      </c>
      <c r="F21" s="260">
        <f t="shared" si="1"/>
        <v>-4.0830000000000002</v>
      </c>
      <c r="G21" s="259">
        <f t="shared" ca="1" si="1"/>
        <v>32.043212892521069</v>
      </c>
      <c r="H21" s="259">
        <f t="shared" ca="1" si="1"/>
        <v>56.622906008331263</v>
      </c>
      <c r="I21" s="259">
        <f t="shared" ca="1" si="1"/>
        <v>158.9440927571757</v>
      </c>
      <c r="J21" s="259">
        <f t="shared" ca="1" si="1"/>
        <v>132.79199800470309</v>
      </c>
      <c r="K21" s="259">
        <f t="shared" ca="1" si="1"/>
        <v>160.89380454680568</v>
      </c>
      <c r="L21" s="259">
        <f t="shared" ca="1" si="1"/>
        <v>187.87641025396508</v>
      </c>
      <c r="M21" s="64"/>
      <c r="N21" s="259">
        <f t="shared" ref="N21:Y21" si="2">SUM(N8:N12,N15:N20)</f>
        <v>-17.779</v>
      </c>
      <c r="O21" s="259">
        <f t="shared" si="2"/>
        <v>3.6649999999999987</v>
      </c>
      <c r="P21" s="259">
        <f t="shared" si="2"/>
        <v>7.4350000000000005</v>
      </c>
      <c r="Q21" s="259">
        <f t="shared" si="2"/>
        <v>2.5960000000000036</v>
      </c>
      <c r="R21" s="259">
        <f t="shared" si="2"/>
        <v>-25.859000000000002</v>
      </c>
      <c r="S21" s="260">
        <f t="shared" si="2"/>
        <v>19.116</v>
      </c>
      <c r="T21" s="259">
        <f t="shared" ca="1" si="2"/>
        <v>10.301402581518616</v>
      </c>
      <c r="U21" s="259">
        <f t="shared" ca="1" si="2"/>
        <v>30.271810311002454</v>
      </c>
      <c r="V21" s="259">
        <f t="shared" ca="1" si="2"/>
        <v>-10.794422810058158</v>
      </c>
      <c r="W21" s="259">
        <f t="shared" ca="1" si="2"/>
        <v>14.255589736055528</v>
      </c>
      <c r="X21" s="259">
        <f t="shared" ca="1" si="2"/>
        <v>2.1665972765992354</v>
      </c>
      <c r="Y21" s="259">
        <f t="shared" ca="1" si="2"/>
        <v>50.995141805734647</v>
      </c>
    </row>
    <row r="22" spans="2:25" x14ac:dyDescent="0.2">
      <c r="D22" s="64"/>
      <c r="E22" s="64"/>
      <c r="F22" s="243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243"/>
      <c r="T22" s="64"/>
      <c r="U22" s="64"/>
      <c r="V22" s="64"/>
      <c r="W22" s="64"/>
      <c r="X22" s="64"/>
      <c r="Y22" s="64"/>
    </row>
    <row r="23" spans="2:25" x14ac:dyDescent="0.2">
      <c r="B23" s="179" t="s">
        <v>307</v>
      </c>
      <c r="D23" s="64"/>
      <c r="E23" s="64"/>
      <c r="F23" s="243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243"/>
      <c r="T23" s="64"/>
      <c r="U23" s="64"/>
      <c r="V23" s="64"/>
      <c r="W23" s="64"/>
      <c r="X23" s="64"/>
      <c r="Y23" s="64"/>
    </row>
    <row r="24" spans="2:25" x14ac:dyDescent="0.2">
      <c r="B24" s="1" t="s">
        <v>308</v>
      </c>
      <c r="D24" s="64">
        <f>'CF FY18-20'!C19/1000</f>
        <v>-1.7190000000000001</v>
      </c>
      <c r="E24" s="64">
        <f>'CF FY18-20'!B19/1000</f>
        <v>-3.2360000000000002</v>
      </c>
      <c r="F24" s="243">
        <f>SUM(N24:Q24)</f>
        <v>-4.1260000000000003</v>
      </c>
      <c r="G24" s="180">
        <f>SUM(R24:U24)</f>
        <v>-3.76729</v>
      </c>
      <c r="H24" s="180">
        <f>SUM(V24:Y24)</f>
        <v>-4.7010725000000004</v>
      </c>
      <c r="I24" s="64">
        <f>-I49</f>
        <v>-6.1113942500000009</v>
      </c>
      <c r="J24" s="64">
        <f>-J49</f>
        <v>-7.6392428125000018</v>
      </c>
      <c r="K24" s="64">
        <f>-K49</f>
        <v>-9.1670913750000018</v>
      </c>
      <c r="L24" s="64">
        <f>-L49</f>
        <v>-10.54215508125</v>
      </c>
      <c r="M24" s="64"/>
      <c r="N24" s="64">
        <v>-0.86299999999999999</v>
      </c>
      <c r="O24" s="64">
        <f>-1.736-N24</f>
        <v>-0.873</v>
      </c>
      <c r="P24" s="64">
        <f>-2.483-SUM(N24:O24)</f>
        <v>-0.74700000000000011</v>
      </c>
      <c r="Q24" s="64">
        <f>-4.126-SUM(N24:P24)</f>
        <v>-1.6430000000000002</v>
      </c>
      <c r="R24" s="64">
        <v>-0.88200000000000001</v>
      </c>
      <c r="S24" s="243">
        <f>-2.149-R24</f>
        <v>-1.2669999999999999</v>
      </c>
      <c r="T24" s="64">
        <f t="shared" ref="T24:Y24" si="3">-T49</f>
        <v>-0.89760000000000006</v>
      </c>
      <c r="U24" s="64">
        <f t="shared" si="3"/>
        <v>-0.72068999999999994</v>
      </c>
      <c r="V24" s="64">
        <f t="shared" si="3"/>
        <v>-1.053628</v>
      </c>
      <c r="W24" s="64">
        <f t="shared" si="3"/>
        <v>-1.139095</v>
      </c>
      <c r="X24" s="64">
        <f t="shared" si="3"/>
        <v>-1.3912800000000001</v>
      </c>
      <c r="Y24" s="64">
        <f t="shared" si="3"/>
        <v>-1.1170694999999999</v>
      </c>
    </row>
    <row r="25" spans="2:25" x14ac:dyDescent="0.2">
      <c r="B25" s="1" t="s">
        <v>349</v>
      </c>
      <c r="D25" s="64">
        <v>0</v>
      </c>
      <c r="E25" s="64">
        <v>0</v>
      </c>
      <c r="F25" s="243">
        <f>SUM(N25:Q25)</f>
        <v>-12.909000000000001</v>
      </c>
      <c r="G25" s="64">
        <v>0</v>
      </c>
      <c r="H25" s="64">
        <v>0</v>
      </c>
      <c r="I25" s="64">
        <v>0</v>
      </c>
      <c r="J25" s="64">
        <v>0</v>
      </c>
      <c r="K25" s="64">
        <v>0</v>
      </c>
      <c r="L25" s="64">
        <v>0</v>
      </c>
      <c r="M25" s="64"/>
      <c r="N25" s="64">
        <v>0</v>
      </c>
      <c r="O25" s="64">
        <v>0</v>
      </c>
      <c r="P25" s="64">
        <f>-12.909-SUM(N25:O25)</f>
        <v>-12.909000000000001</v>
      </c>
      <c r="Q25" s="64">
        <f>-12.909-SUM(N25:P25)</f>
        <v>0</v>
      </c>
      <c r="R25" s="64">
        <v>0</v>
      </c>
      <c r="S25" s="243">
        <v>0</v>
      </c>
      <c r="T25" s="64">
        <v>0</v>
      </c>
      <c r="U25" s="64">
        <v>0</v>
      </c>
      <c r="V25" s="64">
        <v>0</v>
      </c>
      <c r="W25" s="64">
        <v>0</v>
      </c>
      <c r="X25" s="64">
        <v>0</v>
      </c>
      <c r="Y25" s="64">
        <v>0</v>
      </c>
    </row>
    <row r="26" spans="2:25" ht="15" x14ac:dyDescent="0.25">
      <c r="B26" s="249" t="s">
        <v>309</v>
      </c>
      <c r="D26" s="259">
        <f>SUM(D24:D25)</f>
        <v>-1.7190000000000001</v>
      </c>
      <c r="E26" s="259">
        <f t="shared" ref="E26:L26" si="4">SUM(E24:E25)</f>
        <v>-3.2360000000000002</v>
      </c>
      <c r="F26" s="260">
        <f t="shared" si="4"/>
        <v>-17.035</v>
      </c>
      <c r="G26" s="259">
        <f t="shared" si="4"/>
        <v>-3.76729</v>
      </c>
      <c r="H26" s="259">
        <f t="shared" si="4"/>
        <v>-4.7010725000000004</v>
      </c>
      <c r="I26" s="259">
        <f t="shared" si="4"/>
        <v>-6.1113942500000009</v>
      </c>
      <c r="J26" s="259">
        <f t="shared" si="4"/>
        <v>-7.6392428125000018</v>
      </c>
      <c r="K26" s="259">
        <f t="shared" si="4"/>
        <v>-9.1670913750000018</v>
      </c>
      <c r="L26" s="259">
        <f t="shared" si="4"/>
        <v>-10.54215508125</v>
      </c>
      <c r="M26" s="64"/>
      <c r="N26" s="259">
        <f t="shared" ref="N26:Y26" si="5">SUM(N24:N25)</f>
        <v>-0.86299999999999999</v>
      </c>
      <c r="O26" s="259">
        <f t="shared" si="5"/>
        <v>-0.873</v>
      </c>
      <c r="P26" s="259">
        <f t="shared" si="5"/>
        <v>-13.656000000000001</v>
      </c>
      <c r="Q26" s="259">
        <f t="shared" si="5"/>
        <v>-1.6430000000000002</v>
      </c>
      <c r="R26" s="259">
        <f t="shared" si="5"/>
        <v>-0.88200000000000001</v>
      </c>
      <c r="S26" s="260">
        <f t="shared" si="5"/>
        <v>-1.2669999999999999</v>
      </c>
      <c r="T26" s="259">
        <f t="shared" si="5"/>
        <v>-0.89760000000000006</v>
      </c>
      <c r="U26" s="259">
        <f t="shared" si="5"/>
        <v>-0.72068999999999994</v>
      </c>
      <c r="V26" s="259">
        <f t="shared" si="5"/>
        <v>-1.053628</v>
      </c>
      <c r="W26" s="259">
        <f t="shared" si="5"/>
        <v>-1.139095</v>
      </c>
      <c r="X26" s="259">
        <f t="shared" si="5"/>
        <v>-1.3912800000000001</v>
      </c>
      <c r="Y26" s="259">
        <f t="shared" si="5"/>
        <v>-1.1170694999999999</v>
      </c>
    </row>
    <row r="27" spans="2:25" s="125" customFormat="1" ht="15" x14ac:dyDescent="0.25">
      <c r="B27" s="245"/>
      <c r="D27" s="287"/>
      <c r="E27" s="287"/>
      <c r="F27" s="292"/>
      <c r="G27" s="287"/>
      <c r="H27" s="287"/>
      <c r="I27" s="287"/>
      <c r="J27" s="287"/>
      <c r="K27" s="287"/>
      <c r="L27" s="287"/>
      <c r="M27" s="180"/>
      <c r="N27" s="287"/>
      <c r="O27" s="287"/>
      <c r="P27" s="287"/>
      <c r="Q27" s="287"/>
      <c r="R27" s="287"/>
      <c r="S27" s="292"/>
      <c r="T27" s="287"/>
      <c r="U27" s="287"/>
      <c r="V27" s="287"/>
      <c r="W27" s="287"/>
      <c r="X27" s="287"/>
      <c r="Y27" s="287"/>
    </row>
    <row r="28" spans="2:25" x14ac:dyDescent="0.2">
      <c r="D28" s="64"/>
      <c r="E28" s="64"/>
      <c r="F28" s="243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243"/>
      <c r="T28" s="64"/>
      <c r="U28" s="64"/>
      <c r="V28" s="64"/>
      <c r="W28" s="64"/>
      <c r="X28" s="64"/>
      <c r="Y28" s="64"/>
    </row>
    <row r="29" spans="2:25" x14ac:dyDescent="0.2">
      <c r="B29" s="179" t="s">
        <v>310</v>
      </c>
      <c r="D29" s="64"/>
      <c r="E29" s="64"/>
      <c r="F29" s="243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243"/>
      <c r="T29" s="64"/>
      <c r="U29" s="64"/>
      <c r="V29" s="64"/>
      <c r="W29" s="64"/>
      <c r="X29" s="64"/>
      <c r="Y29" s="64"/>
    </row>
    <row r="30" spans="2:25" x14ac:dyDescent="0.2">
      <c r="B30" s="1" t="s">
        <v>368</v>
      </c>
      <c r="D30" s="64">
        <f>'CF FY18-20'!C42/1000</f>
        <v>0</v>
      </c>
      <c r="E30" s="64">
        <f>'CF FY18-20'!B42/1000</f>
        <v>0</v>
      </c>
      <c r="F30" s="243">
        <f>SUM(N30:Q30)</f>
        <v>144.81700000000001</v>
      </c>
      <c r="G30" s="64">
        <f>SUM(R30:U30)</f>
        <v>0</v>
      </c>
      <c r="H30" s="64">
        <f>SUM(V30:Y30)</f>
        <v>0</v>
      </c>
      <c r="I30" s="64"/>
      <c r="J30" s="64"/>
      <c r="K30" s="64"/>
      <c r="L30" s="64"/>
      <c r="M30" s="64"/>
      <c r="N30" s="64">
        <f>154.521-9.619</f>
        <v>144.90199999999999</v>
      </c>
      <c r="O30" s="64">
        <f>154.521-9.619-N30</f>
        <v>0</v>
      </c>
      <c r="P30" s="64">
        <f>154.521+281.064-281.064-9.619-SUM(N30:O30)</f>
        <v>0</v>
      </c>
      <c r="Q30" s="64">
        <f>278.833-124.312+281.064-281.064-9.704-SUM(N30:P30)</f>
        <v>-8.4999999999979536E-2</v>
      </c>
      <c r="R30" s="64">
        <v>0</v>
      </c>
      <c r="S30" s="243">
        <v>0</v>
      </c>
      <c r="T30" s="64">
        <v>0</v>
      </c>
      <c r="U30" s="64">
        <v>0</v>
      </c>
      <c r="V30" s="64">
        <v>0</v>
      </c>
      <c r="W30" s="64">
        <v>0</v>
      </c>
      <c r="X30" s="64">
        <v>0</v>
      </c>
      <c r="Y30" s="64">
        <v>0</v>
      </c>
    </row>
    <row r="31" spans="2:25" x14ac:dyDescent="0.2">
      <c r="B31" s="1" t="s">
        <v>365</v>
      </c>
      <c r="D31" s="64">
        <f>'CF FY18-20'!C43/1000</f>
        <v>-13.5</v>
      </c>
      <c r="E31" s="64">
        <f>'CF FY18-20'!B43/1000</f>
        <v>331.92899999999997</v>
      </c>
      <c r="F31" s="243">
        <f>SUM(N31:Q31)</f>
        <v>-119.241</v>
      </c>
      <c r="G31" s="64">
        <f ca="1">SUM(R31:U31)</f>
        <v>10.04507710747896</v>
      </c>
      <c r="H31" s="64">
        <f ca="1">SUM(V31:Y31)</f>
        <v>-11.921833508331275</v>
      </c>
      <c r="I31" s="64">
        <f ca="1">+IS!J156-IS!I156</f>
        <v>-54.263243599147671</v>
      </c>
      <c r="J31" s="64">
        <f ca="1">+IS!K156-IS!J156</f>
        <v>0</v>
      </c>
      <c r="K31" s="64">
        <f ca="1">+IS!L156-IS!K156</f>
        <v>0</v>
      </c>
      <c r="L31" s="64">
        <f ca="1">+IS!M156-IS!L156</f>
        <v>0</v>
      </c>
      <c r="M31" s="64"/>
      <c r="N31" s="64">
        <f>-0.094+19-150.875</f>
        <v>-131.96899999999999</v>
      </c>
      <c r="O31" s="64">
        <f>-0.094-151.75+34-5-N31</f>
        <v>9.125</v>
      </c>
      <c r="P31" s="64">
        <f>-0.094-152.25+40.14-1.537-SUM(N31:O31)</f>
        <v>9.1029999999999944</v>
      </c>
      <c r="Q31" s="64">
        <f>-152.75+49.14-14-1.537-0.094-SUM(N31:P31)</f>
        <v>-5.5</v>
      </c>
      <c r="R31" s="64">
        <f>-0.5+35</f>
        <v>34.5</v>
      </c>
      <c r="S31" s="243">
        <f>-1+38-8-R31</f>
        <v>-5.5</v>
      </c>
      <c r="T31" s="180">
        <f ca="1">+IS!Y156-IS!X156</f>
        <v>0.59619741848138119</v>
      </c>
      <c r="U31" s="180">
        <f ca="1">+IS!Z156-IS!Y156</f>
        <v>-19.551120311002421</v>
      </c>
      <c r="V31" s="180">
        <f ca="1">+IS!AA156-IS!Z156</f>
        <v>21.848050810058112</v>
      </c>
      <c r="W31" s="180">
        <f ca="1">+IS!AB156-IS!AA156</f>
        <v>-3.1164947360555288</v>
      </c>
      <c r="X31" s="180">
        <f ca="1">+IS!AC156-IS!AB156</f>
        <v>9.2246827234008038</v>
      </c>
      <c r="Y31" s="180">
        <f ca="1">+IS!AD156-IS!AC156</f>
        <v>-39.878072305734662</v>
      </c>
    </row>
    <row r="32" spans="2:25" x14ac:dyDescent="0.2">
      <c r="B32" s="1" t="s">
        <v>65</v>
      </c>
      <c r="D32" s="64">
        <f>'CF FY18-20'!C44/1000</f>
        <v>-13.989000000000001</v>
      </c>
      <c r="E32" s="64">
        <f>'CF FY18-20'!B44/1000</f>
        <v>-379.78399999999999</v>
      </c>
      <c r="F32" s="243">
        <f>SUM(N32:Q32)</f>
        <v>-4.9740000000000002</v>
      </c>
      <c r="G32" s="64">
        <f>SUM(R32:U32)</f>
        <v>-5.8629999999999995</v>
      </c>
      <c r="H32" s="64">
        <f>SUM(V32:Y32)</f>
        <v>0</v>
      </c>
      <c r="I32" s="64"/>
      <c r="J32" s="64"/>
      <c r="K32" s="64"/>
      <c r="L32" s="64"/>
      <c r="M32" s="64"/>
      <c r="N32" s="64">
        <v>-0.13700000000000001</v>
      </c>
      <c r="O32" s="64">
        <f>-2.973-0.137-N32</f>
        <v>-2.9729999999999999</v>
      </c>
      <c r="P32" s="64">
        <f>-4.837-0.137-SUM(N32:O32)</f>
        <v>-1.8640000000000003</v>
      </c>
      <c r="Q32" s="64">
        <f>-4.837-0.137-SUM(N32:P32)</f>
        <v>0</v>
      </c>
      <c r="R32" s="64">
        <f>-2.938-1.297</f>
        <v>-4.2350000000000003</v>
      </c>
      <c r="S32" s="243">
        <f>-4.566-1.297-R32</f>
        <v>-1.6279999999999992</v>
      </c>
      <c r="T32" s="64">
        <v>0</v>
      </c>
      <c r="U32" s="64">
        <v>0</v>
      </c>
      <c r="V32" s="64">
        <v>0</v>
      </c>
      <c r="W32" s="64">
        <v>0</v>
      </c>
      <c r="X32" s="64">
        <v>0</v>
      </c>
      <c r="Y32" s="64">
        <v>0</v>
      </c>
    </row>
    <row r="33" spans="2:26" x14ac:dyDescent="0.2">
      <c r="B33" s="179"/>
      <c r="D33" s="64"/>
      <c r="E33" s="64"/>
      <c r="F33" s="243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243"/>
      <c r="T33" s="64"/>
      <c r="U33" s="64"/>
      <c r="V33" s="64"/>
      <c r="W33" s="64"/>
      <c r="X33" s="64"/>
      <c r="Y33" s="64"/>
    </row>
    <row r="34" spans="2:26" x14ac:dyDescent="0.2">
      <c r="B34" s="179"/>
      <c r="D34" s="64"/>
      <c r="E34" s="64"/>
      <c r="F34" s="243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243"/>
      <c r="T34" s="64"/>
      <c r="U34" s="64"/>
      <c r="V34" s="64"/>
      <c r="W34" s="64"/>
      <c r="X34" s="64"/>
      <c r="Y34" s="64"/>
    </row>
    <row r="35" spans="2:26" ht="15" x14ac:dyDescent="0.25">
      <c r="B35" s="249" t="s">
        <v>311</v>
      </c>
      <c r="D35" s="259">
        <f t="shared" ref="D35:L35" si="6">SUM(D30:D34)</f>
        <v>-27.489000000000001</v>
      </c>
      <c r="E35" s="259">
        <f t="shared" si="6"/>
        <v>-47.855000000000018</v>
      </c>
      <c r="F35" s="260">
        <f t="shared" si="6"/>
        <v>20.602000000000007</v>
      </c>
      <c r="G35" s="259">
        <f t="shared" ca="1" si="6"/>
        <v>4.1820771074789604</v>
      </c>
      <c r="H35" s="259">
        <f t="shared" ca="1" si="6"/>
        <v>-11.921833508331275</v>
      </c>
      <c r="I35" s="259">
        <f t="shared" ca="1" si="6"/>
        <v>-54.263243599147671</v>
      </c>
      <c r="J35" s="259">
        <f t="shared" ca="1" si="6"/>
        <v>0</v>
      </c>
      <c r="K35" s="259">
        <f t="shared" ca="1" si="6"/>
        <v>0</v>
      </c>
      <c r="L35" s="259">
        <f t="shared" ca="1" si="6"/>
        <v>0</v>
      </c>
      <c r="M35" s="64"/>
      <c r="N35" s="259">
        <f t="shared" ref="N35:Y35" si="7">SUM(N30:N34)</f>
        <v>12.795999999999992</v>
      </c>
      <c r="O35" s="259">
        <f t="shared" si="7"/>
        <v>6.1520000000000001</v>
      </c>
      <c r="P35" s="259">
        <f t="shared" si="7"/>
        <v>7.2389999999999937</v>
      </c>
      <c r="Q35" s="259">
        <f t="shared" si="7"/>
        <v>-5.5849999999999795</v>
      </c>
      <c r="R35" s="259">
        <f t="shared" si="7"/>
        <v>30.265000000000001</v>
      </c>
      <c r="S35" s="260">
        <f t="shared" si="7"/>
        <v>-7.1279999999999992</v>
      </c>
      <c r="T35" s="259">
        <f t="shared" ca="1" si="7"/>
        <v>0.59619741848138119</v>
      </c>
      <c r="U35" s="259">
        <f t="shared" ca="1" si="7"/>
        <v>-19.551120311002421</v>
      </c>
      <c r="V35" s="259">
        <f t="shared" ca="1" si="7"/>
        <v>21.848050810058112</v>
      </c>
      <c r="W35" s="259">
        <f t="shared" ca="1" si="7"/>
        <v>-3.1164947360555288</v>
      </c>
      <c r="X35" s="259">
        <f t="shared" ca="1" si="7"/>
        <v>9.2246827234008038</v>
      </c>
      <c r="Y35" s="259">
        <f t="shared" ca="1" si="7"/>
        <v>-39.878072305734662</v>
      </c>
    </row>
    <row r="36" spans="2:26" x14ac:dyDescent="0.2">
      <c r="D36" s="64"/>
      <c r="E36" s="64"/>
      <c r="F36" s="243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243"/>
      <c r="T36" s="64"/>
      <c r="U36" s="64"/>
      <c r="V36" s="64"/>
      <c r="W36" s="64"/>
      <c r="X36" s="64"/>
      <c r="Y36" s="64"/>
    </row>
    <row r="37" spans="2:26" ht="15" x14ac:dyDescent="0.25">
      <c r="B37" s="249" t="s">
        <v>312</v>
      </c>
      <c r="D37" s="259">
        <f t="shared" ref="D37:L37" si="8">SUM(D21,D26,D35)</f>
        <v>6.9740000000000002</v>
      </c>
      <c r="E37" s="259">
        <f t="shared" si="8"/>
        <v>2.9909999999999926</v>
      </c>
      <c r="F37" s="260">
        <f t="shared" si="8"/>
        <v>-0.51599999999999469</v>
      </c>
      <c r="G37" s="259">
        <f t="shared" ca="1" si="8"/>
        <v>32.458000000000027</v>
      </c>
      <c r="H37" s="259">
        <f t="shared" ca="1" si="8"/>
        <v>39.999999999999986</v>
      </c>
      <c r="I37" s="259">
        <f t="shared" ca="1" si="8"/>
        <v>98.569454908028035</v>
      </c>
      <c r="J37" s="259">
        <f t="shared" ca="1" si="8"/>
        <v>125.15275519220309</v>
      </c>
      <c r="K37" s="259">
        <f t="shared" ca="1" si="8"/>
        <v>151.72671317180567</v>
      </c>
      <c r="L37" s="259">
        <f t="shared" ca="1" si="8"/>
        <v>177.33425517271507</v>
      </c>
      <c r="M37" s="64"/>
      <c r="N37" s="259">
        <f t="shared" ref="N37:Y37" si="9">SUM(N21,N26,N35)</f>
        <v>-5.8460000000000072</v>
      </c>
      <c r="O37" s="259">
        <f t="shared" si="9"/>
        <v>8.9439999999999991</v>
      </c>
      <c r="P37" s="259">
        <f t="shared" si="9"/>
        <v>1.0179999999999936</v>
      </c>
      <c r="Q37" s="259">
        <f t="shared" si="9"/>
        <v>-4.6319999999999766</v>
      </c>
      <c r="R37" s="259">
        <f t="shared" si="9"/>
        <v>3.5239999999999974</v>
      </c>
      <c r="S37" s="260">
        <f t="shared" si="9"/>
        <v>10.721</v>
      </c>
      <c r="T37" s="259">
        <f t="shared" ca="1" si="9"/>
        <v>9.9999999999999964</v>
      </c>
      <c r="U37" s="259">
        <f t="shared" ca="1" si="9"/>
        <v>10.000000000000032</v>
      </c>
      <c r="V37" s="259">
        <f t="shared" ca="1" si="9"/>
        <v>9.9999999999999538</v>
      </c>
      <c r="W37" s="259">
        <f t="shared" ca="1" si="9"/>
        <v>10</v>
      </c>
      <c r="X37" s="259">
        <f t="shared" ca="1" si="9"/>
        <v>10.000000000000039</v>
      </c>
      <c r="Y37" s="259">
        <f t="shared" ca="1" si="9"/>
        <v>9.9999999999999858</v>
      </c>
    </row>
    <row r="38" spans="2:26" x14ac:dyDescent="0.2">
      <c r="D38" s="64"/>
      <c r="E38" s="64"/>
      <c r="F38" s="243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243"/>
      <c r="T38" s="64"/>
      <c r="U38" s="64"/>
      <c r="V38" s="64"/>
      <c r="W38" s="64"/>
      <c r="X38" s="64"/>
      <c r="Y38" s="64"/>
    </row>
    <row r="39" spans="2:26" x14ac:dyDescent="0.2">
      <c r="B39" s="1" t="s">
        <v>313</v>
      </c>
      <c r="D39" s="64">
        <f>'CF FY18-20'!D36/1000</f>
        <v>0.108</v>
      </c>
      <c r="E39" s="64">
        <f>D42</f>
        <v>7.0819999999999999</v>
      </c>
      <c r="F39" s="243">
        <f>E42</f>
        <v>10.072999999999993</v>
      </c>
      <c r="G39" s="64">
        <f>F42</f>
        <v>5.0059999999999985</v>
      </c>
      <c r="H39" s="64"/>
      <c r="I39" s="64">
        <f ca="1">+H40</f>
        <v>70.094000000000008</v>
      </c>
      <c r="J39" s="64">
        <f ca="1">+I40</f>
        <v>168.66345490802803</v>
      </c>
      <c r="K39" s="64">
        <f ca="1">+J40</f>
        <v>293.8162101002311</v>
      </c>
      <c r="L39" s="64">
        <f ca="1">+K40</f>
        <v>445.54292327203677</v>
      </c>
      <c r="M39" s="64"/>
      <c r="N39" s="64">
        <f>E42</f>
        <v>10.072999999999993</v>
      </c>
      <c r="O39" s="64">
        <f>N42</f>
        <v>4.2269999999999861</v>
      </c>
      <c r="P39" s="64">
        <f>O42</f>
        <v>13.170999999999985</v>
      </c>
      <c r="Q39" s="64">
        <f>P42</f>
        <v>14.188999999999979</v>
      </c>
      <c r="R39" s="64">
        <f>Q42</f>
        <v>5.006000000000002</v>
      </c>
      <c r="S39" s="574">
        <f>R40</f>
        <v>8.5299999999999994</v>
      </c>
      <c r="T39" s="65">
        <f t="shared" ref="T39:Y39" si="10">+S40</f>
        <v>10.093999999999999</v>
      </c>
      <c r="U39" s="65">
        <f t="shared" ca="1" si="10"/>
        <v>20.093999999999994</v>
      </c>
      <c r="V39" s="65">
        <f t="shared" ca="1" si="10"/>
        <v>30.094000000000026</v>
      </c>
      <c r="W39" s="65">
        <f t="shared" ca="1" si="10"/>
        <v>40.09399999999998</v>
      </c>
      <c r="X39" s="65">
        <f t="shared" ca="1" si="10"/>
        <v>50.09399999999998</v>
      </c>
      <c r="Y39" s="65">
        <f t="shared" ca="1" si="10"/>
        <v>60.094000000000023</v>
      </c>
    </row>
    <row r="40" spans="2:26" ht="15" x14ac:dyDescent="0.25">
      <c r="B40" s="249" t="s">
        <v>314</v>
      </c>
      <c r="D40" s="259">
        <f>SUM(D37,D39)</f>
        <v>7.0819999999999999</v>
      </c>
      <c r="E40" s="259">
        <f>SUM(E37,E39)</f>
        <v>10.072999999999993</v>
      </c>
      <c r="F40" s="260">
        <f>SUM(F37,F39)</f>
        <v>9.5569999999999986</v>
      </c>
      <c r="G40" s="259">
        <f ca="1">SUM(G37,G39)</f>
        <v>37.464000000000027</v>
      </c>
      <c r="H40" s="259">
        <f ca="1">+Y40</f>
        <v>70.094000000000008</v>
      </c>
      <c r="I40" s="259">
        <f ca="1">SUM(I37,I39)</f>
        <v>168.66345490802803</v>
      </c>
      <c r="J40" s="259">
        <f ca="1">SUM(J37,J39)</f>
        <v>293.8162101002311</v>
      </c>
      <c r="K40" s="259">
        <f ca="1">SUM(K37,K39)</f>
        <v>445.54292327203677</v>
      </c>
      <c r="L40" s="259">
        <f ca="1">SUM(L37,L39)</f>
        <v>622.87717844475185</v>
      </c>
      <c r="M40" s="64"/>
      <c r="N40" s="259">
        <f t="shared" ref="N40:Y40" si="11">SUM(N37,N39)</f>
        <v>4.2269999999999861</v>
      </c>
      <c r="O40" s="259">
        <f t="shared" si="11"/>
        <v>13.170999999999985</v>
      </c>
      <c r="P40" s="259">
        <f t="shared" si="11"/>
        <v>14.188999999999979</v>
      </c>
      <c r="Q40" s="259">
        <f t="shared" si="11"/>
        <v>9.5570000000000022</v>
      </c>
      <c r="R40" s="259">
        <f t="shared" si="11"/>
        <v>8.5299999999999994</v>
      </c>
      <c r="S40" s="575">
        <f>+BS!S10</f>
        <v>10.093999999999999</v>
      </c>
      <c r="T40" s="576">
        <f t="shared" ca="1" si="11"/>
        <v>20.093999999999994</v>
      </c>
      <c r="U40" s="576">
        <f t="shared" ca="1" si="11"/>
        <v>30.094000000000026</v>
      </c>
      <c r="V40" s="576">
        <f t="shared" ca="1" si="11"/>
        <v>40.09399999999998</v>
      </c>
      <c r="W40" s="576">
        <f t="shared" ca="1" si="11"/>
        <v>50.09399999999998</v>
      </c>
      <c r="X40" s="576">
        <f t="shared" ca="1" si="11"/>
        <v>60.094000000000023</v>
      </c>
      <c r="Y40" s="576">
        <f t="shared" ca="1" si="11"/>
        <v>70.094000000000008</v>
      </c>
    </row>
    <row r="41" spans="2:26" outlineLevel="1" x14ac:dyDescent="0.2">
      <c r="B41" s="195" t="s">
        <v>376</v>
      </c>
      <c r="D41" s="288"/>
      <c r="E41" s="288"/>
      <c r="F41" s="293">
        <v>4.5510000000000002</v>
      </c>
      <c r="G41" s="289">
        <f>10.125+3.583</f>
        <v>13.708</v>
      </c>
      <c r="H41" s="288">
        <f>G41</f>
        <v>13.708</v>
      </c>
      <c r="I41" s="288">
        <f>H41</f>
        <v>13.708</v>
      </c>
      <c r="J41" s="288">
        <f>I41</f>
        <v>13.708</v>
      </c>
      <c r="K41" s="288">
        <f>J41</f>
        <v>13.708</v>
      </c>
      <c r="L41" s="288">
        <f>K41</f>
        <v>13.708</v>
      </c>
      <c r="M41" s="64"/>
      <c r="N41" s="288"/>
      <c r="O41" s="288"/>
      <c r="P41" s="288"/>
      <c r="Q41" s="289">
        <v>4.5510000000000002</v>
      </c>
      <c r="R41" s="289">
        <f>4.222+6.325</f>
        <v>10.547000000000001</v>
      </c>
      <c r="S41" s="293">
        <f>10.125+3.583</f>
        <v>13.708</v>
      </c>
      <c r="T41" s="288">
        <f t="shared" ref="T41:Y41" si="12">S41</f>
        <v>13.708</v>
      </c>
      <c r="U41" s="288">
        <f t="shared" si="12"/>
        <v>13.708</v>
      </c>
      <c r="V41" s="288">
        <f t="shared" si="12"/>
        <v>13.708</v>
      </c>
      <c r="W41" s="288">
        <f t="shared" si="12"/>
        <v>13.708</v>
      </c>
      <c r="X41" s="288">
        <f t="shared" si="12"/>
        <v>13.708</v>
      </c>
      <c r="Y41" s="288">
        <f t="shared" si="12"/>
        <v>13.708</v>
      </c>
      <c r="Z41" s="1" t="s">
        <v>421</v>
      </c>
    </row>
    <row r="42" spans="2:26" outlineLevel="1" x14ac:dyDescent="0.2">
      <c r="B42" s="195" t="s">
        <v>314</v>
      </c>
      <c r="D42" s="288">
        <f t="shared" ref="D42:L42" si="13">D40-D41</f>
        <v>7.0819999999999999</v>
      </c>
      <c r="E42" s="288">
        <f t="shared" si="13"/>
        <v>10.072999999999993</v>
      </c>
      <c r="F42" s="294">
        <f t="shared" si="13"/>
        <v>5.0059999999999985</v>
      </c>
      <c r="G42" s="288">
        <f t="shared" ca="1" si="13"/>
        <v>23.756000000000029</v>
      </c>
      <c r="H42" s="288">
        <f t="shared" ca="1" si="13"/>
        <v>56.38600000000001</v>
      </c>
      <c r="I42" s="288">
        <f t="shared" ca="1" si="13"/>
        <v>154.95545490802803</v>
      </c>
      <c r="J42" s="288">
        <f t="shared" ca="1" si="13"/>
        <v>280.10821010023108</v>
      </c>
      <c r="K42" s="288">
        <f t="shared" ca="1" si="13"/>
        <v>431.83492327203675</v>
      </c>
      <c r="L42" s="288">
        <f t="shared" ca="1" si="13"/>
        <v>609.16917844475188</v>
      </c>
      <c r="M42" s="64"/>
      <c r="N42" s="288">
        <f t="shared" ref="N42:Y42" si="14">N40-N41</f>
        <v>4.2269999999999861</v>
      </c>
      <c r="O42" s="288">
        <f t="shared" si="14"/>
        <v>13.170999999999985</v>
      </c>
      <c r="P42" s="288">
        <f t="shared" si="14"/>
        <v>14.188999999999979</v>
      </c>
      <c r="Q42" s="288">
        <f t="shared" si="14"/>
        <v>5.006000000000002</v>
      </c>
      <c r="R42" s="288">
        <f t="shared" si="14"/>
        <v>-2.0170000000000012</v>
      </c>
      <c r="S42" s="294">
        <f t="shared" si="14"/>
        <v>-3.6140000000000008</v>
      </c>
      <c r="T42" s="288">
        <f t="shared" ca="1" si="14"/>
        <v>6.3859999999999939</v>
      </c>
      <c r="U42" s="288">
        <f t="shared" ca="1" si="14"/>
        <v>16.386000000000024</v>
      </c>
      <c r="V42" s="288">
        <f t="shared" ca="1" si="14"/>
        <v>26.385999999999981</v>
      </c>
      <c r="W42" s="288">
        <f t="shared" ca="1" si="14"/>
        <v>36.385999999999981</v>
      </c>
      <c r="X42" s="288">
        <f t="shared" ca="1" si="14"/>
        <v>46.386000000000024</v>
      </c>
      <c r="Y42" s="288">
        <f t="shared" ca="1" si="14"/>
        <v>56.38600000000001</v>
      </c>
      <c r="Z42" s="1" t="s">
        <v>421</v>
      </c>
    </row>
    <row r="43" spans="2:26" x14ac:dyDescent="0.2">
      <c r="O43" s="286"/>
    </row>
    <row r="45" spans="2:26" ht="15" x14ac:dyDescent="0.25">
      <c r="B45" s="75" t="s">
        <v>391</v>
      </c>
      <c r="C45" s="15"/>
      <c r="D45" s="15"/>
      <c r="E45" s="15"/>
      <c r="F45" s="29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295"/>
      <c r="T45" s="15"/>
      <c r="U45" s="15"/>
      <c r="V45" s="15"/>
      <c r="W45" s="15"/>
      <c r="X45" s="15"/>
      <c r="Y45" s="15"/>
    </row>
    <row r="47" spans="2:26" x14ac:dyDescent="0.2">
      <c r="B47" s="1" t="s">
        <v>328</v>
      </c>
      <c r="D47" s="160">
        <f>IS!E9</f>
        <v>144.49600000000001</v>
      </c>
      <c r="E47" s="160">
        <f>IS!F9</f>
        <v>175.518</v>
      </c>
      <c r="F47" s="240">
        <f>IS!G9</f>
        <v>213.21199999999999</v>
      </c>
      <c r="G47" s="160">
        <f>IS!H9</f>
        <v>303.29499999999996</v>
      </c>
      <c r="H47" s="160">
        <f>IS!I9</f>
        <v>470.10725000000002</v>
      </c>
      <c r="I47" s="160">
        <f>IS!J9</f>
        <v>611.13942500000007</v>
      </c>
      <c r="J47" s="160">
        <f>IS!K9</f>
        <v>763.92428125000015</v>
      </c>
      <c r="K47" s="160">
        <f>IS!L9</f>
        <v>916.70913750000011</v>
      </c>
      <c r="L47" s="160">
        <f>IS!M9</f>
        <v>1054.215508125</v>
      </c>
      <c r="M47" s="160"/>
      <c r="N47" s="160">
        <f>IS!S9</f>
        <v>45.603999999999999</v>
      </c>
      <c r="O47" s="160">
        <f>IS!T9</f>
        <v>59.722000000000001</v>
      </c>
      <c r="P47" s="160">
        <f>IS!U9</f>
        <v>59.84</v>
      </c>
      <c r="Q47" s="160">
        <f>IS!V9</f>
        <v>48.045999999999992</v>
      </c>
      <c r="R47" s="160">
        <f>IS!W9</f>
        <v>67.975999999999999</v>
      </c>
      <c r="S47" s="240">
        <f>IS!X9</f>
        <v>73.489999999999995</v>
      </c>
      <c r="T47" s="160">
        <f>IS!Y9</f>
        <v>89.76</v>
      </c>
      <c r="U47" s="160">
        <f>IS!Z9</f>
        <v>72.068999999999988</v>
      </c>
      <c r="V47" s="160">
        <f>IS!AA9</f>
        <v>105.36280000000001</v>
      </c>
      <c r="W47" s="160">
        <f>IS!AB9</f>
        <v>113.90949999999999</v>
      </c>
      <c r="X47" s="160">
        <f>IS!AC9</f>
        <v>139.12800000000001</v>
      </c>
      <c r="Y47" s="160">
        <f>IS!AD9</f>
        <v>111.70694999999999</v>
      </c>
    </row>
    <row r="49" spans="2:25" x14ac:dyDescent="0.2">
      <c r="B49" s="1" t="s">
        <v>392</v>
      </c>
      <c r="D49" s="64">
        <f>-D24</f>
        <v>1.7190000000000001</v>
      </c>
      <c r="E49" s="64">
        <f>-E24</f>
        <v>3.2360000000000002</v>
      </c>
      <c r="F49" s="243">
        <f>-F24</f>
        <v>4.1260000000000003</v>
      </c>
      <c r="G49" s="64">
        <f>-G24</f>
        <v>3.76729</v>
      </c>
      <c r="H49" s="64">
        <f>-H24</f>
        <v>4.7010725000000004</v>
      </c>
      <c r="I49" s="64">
        <f>I50*I47</f>
        <v>6.1113942500000009</v>
      </c>
      <c r="J49" s="64">
        <f>J50*J47</f>
        <v>7.6392428125000018</v>
      </c>
      <c r="K49" s="64">
        <f>K50*K47</f>
        <v>9.1670913750000018</v>
      </c>
      <c r="L49" s="64">
        <f>L50*L47</f>
        <v>10.54215508125</v>
      </c>
      <c r="M49" s="64"/>
      <c r="N49" s="64">
        <f t="shared" ref="N49:S49" si="15">-N24</f>
        <v>0.86299999999999999</v>
      </c>
      <c r="O49" s="64">
        <f t="shared" si="15"/>
        <v>0.873</v>
      </c>
      <c r="P49" s="64">
        <f t="shared" si="15"/>
        <v>0.74700000000000011</v>
      </c>
      <c r="Q49" s="64">
        <f t="shared" si="15"/>
        <v>1.6430000000000002</v>
      </c>
      <c r="R49" s="64">
        <f t="shared" si="15"/>
        <v>0.88200000000000001</v>
      </c>
      <c r="S49" s="243">
        <f t="shared" si="15"/>
        <v>1.2669999999999999</v>
      </c>
      <c r="T49" s="64">
        <f t="shared" ref="T49:Y49" si="16">T47*T50</f>
        <v>0.89760000000000006</v>
      </c>
      <c r="U49" s="64">
        <f t="shared" si="16"/>
        <v>0.72068999999999994</v>
      </c>
      <c r="V49" s="64">
        <f t="shared" si="16"/>
        <v>1.053628</v>
      </c>
      <c r="W49" s="64">
        <f t="shared" si="16"/>
        <v>1.139095</v>
      </c>
      <c r="X49" s="64">
        <f t="shared" si="16"/>
        <v>1.3912800000000001</v>
      </c>
      <c r="Y49" s="64">
        <f t="shared" si="16"/>
        <v>1.1170694999999999</v>
      </c>
    </row>
    <row r="50" spans="2:25" x14ac:dyDescent="0.2">
      <c r="B50" s="38" t="s">
        <v>60</v>
      </c>
      <c r="D50" s="30">
        <f>D49/D47</f>
        <v>1.1896523087144281E-2</v>
      </c>
      <c r="E50" s="30">
        <f>E49/E47</f>
        <v>1.8436855479210111E-2</v>
      </c>
      <c r="F50" s="280">
        <f>F49/F47</f>
        <v>1.9351631240267904E-2</v>
      </c>
      <c r="G50" s="30">
        <f>G49/G47</f>
        <v>1.2421207075619448E-2</v>
      </c>
      <c r="H50" s="30">
        <f>H49/H47</f>
        <v>0.01</v>
      </c>
      <c r="I50" s="35">
        <v>0.01</v>
      </c>
      <c r="J50" s="35">
        <f>I50</f>
        <v>0.01</v>
      </c>
      <c r="K50" s="35">
        <f>J50</f>
        <v>0.01</v>
      </c>
      <c r="L50" s="35">
        <f>K50</f>
        <v>0.01</v>
      </c>
      <c r="M50" s="35">
        <v>0.02</v>
      </c>
      <c r="N50" s="30">
        <f t="shared" ref="N50:S50" si="17">N49/N47</f>
        <v>1.8923778615910884E-2</v>
      </c>
      <c r="O50" s="30">
        <f t="shared" si="17"/>
        <v>1.4617728810153711E-2</v>
      </c>
      <c r="P50" s="30">
        <f t="shared" si="17"/>
        <v>1.2483288770053476E-2</v>
      </c>
      <c r="Q50" s="30">
        <f t="shared" si="17"/>
        <v>3.4196395121342059E-2</v>
      </c>
      <c r="R50" s="30">
        <f t="shared" si="17"/>
        <v>1.2975167706249265E-2</v>
      </c>
      <c r="S50" s="280">
        <f t="shared" si="17"/>
        <v>1.7240440876309701E-2</v>
      </c>
      <c r="T50" s="35">
        <v>0.01</v>
      </c>
      <c r="U50" s="35">
        <v>0.01</v>
      </c>
      <c r="V50" s="35">
        <v>0.01</v>
      </c>
      <c r="W50" s="35">
        <v>0.01</v>
      </c>
      <c r="X50" s="35">
        <v>0.01</v>
      </c>
      <c r="Y50" s="35">
        <v>0.01</v>
      </c>
    </row>
  </sheetData>
  <pageMargins left="0.7" right="0.7" top="0.75" bottom="0.75" header="0.3" footer="0.3"/>
  <pageSetup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4A98D-DC76-482C-A323-2241F83F9735}">
  <sheetPr>
    <tabColor theme="1"/>
  </sheetPr>
  <dimension ref="C1:AE98"/>
  <sheetViews>
    <sheetView workbookViewId="0"/>
  </sheetViews>
  <sheetFormatPr defaultRowHeight="14.25" outlineLevelRow="2" outlineLevelCol="1" x14ac:dyDescent="0.2"/>
  <cols>
    <col min="1" max="2" width="9.140625" style="1"/>
    <col min="3" max="3" width="32.140625" style="1" customWidth="1"/>
    <col min="4" max="7" width="9.7109375" style="1" hidden="1" customWidth="1" outlineLevel="1"/>
    <col min="8" max="8" width="10.7109375" style="237" bestFit="1" customWidth="1" collapsed="1"/>
    <col min="9" max="12" width="10.5703125" style="1" hidden="1" customWidth="1" outlineLevel="1"/>
    <col min="13" max="13" width="9.28515625" style="1" bestFit="1" customWidth="1" outlineLevel="1" collapsed="1"/>
    <col min="14" max="15" width="9.28515625" style="1" bestFit="1" customWidth="1" outlineLevel="1"/>
    <col min="16" max="16" width="9.28515625" style="1" bestFit="1" customWidth="1"/>
    <col min="17" max="19" width="9.28515625" style="1" customWidth="1" outlineLevel="1"/>
    <col min="20" max="20" width="10.5703125" style="1" customWidth="1" outlineLevel="1"/>
    <col min="21" max="23" width="10.5703125" style="1" bestFit="1" customWidth="1"/>
    <col min="24" max="16384" width="9.140625" style="1"/>
  </cols>
  <sheetData>
    <row r="1" spans="3:29" s="73" customFormat="1" ht="15" x14ac:dyDescent="0.25">
      <c r="C1" s="6" t="s">
        <v>88</v>
      </c>
      <c r="D1" s="6"/>
      <c r="E1" s="6"/>
      <c r="F1" s="226"/>
      <c r="G1" s="6"/>
      <c r="H1" s="226"/>
      <c r="I1" s="6"/>
      <c r="J1" s="6"/>
      <c r="K1" s="6"/>
      <c r="L1" s="6"/>
      <c r="M1" s="144"/>
      <c r="N1" s="144"/>
      <c r="O1" s="144"/>
      <c r="P1" s="144"/>
      <c r="Q1" s="305"/>
      <c r="R1" s="144"/>
      <c r="S1" s="144"/>
      <c r="T1" s="144"/>
      <c r="U1" s="305"/>
      <c r="V1" s="144"/>
      <c r="W1" s="144"/>
      <c r="X1" s="1"/>
      <c r="Y1" s="1"/>
      <c r="Z1" s="1"/>
      <c r="AA1" s="1"/>
      <c r="AB1" s="1"/>
      <c r="AC1" s="1"/>
    </row>
    <row r="2" spans="3:29" ht="15" x14ac:dyDescent="0.25">
      <c r="C2" s="146"/>
      <c r="D2" s="148" t="s">
        <v>77</v>
      </c>
      <c r="E2" s="146" t="s">
        <v>78</v>
      </c>
      <c r="F2" s="146" t="s">
        <v>79</v>
      </c>
      <c r="G2" s="229" t="s">
        <v>80</v>
      </c>
      <c r="H2" s="559">
        <v>2021</v>
      </c>
      <c r="I2" s="148" t="s">
        <v>77</v>
      </c>
      <c r="J2" s="146" t="s">
        <v>78</v>
      </c>
      <c r="K2" s="146" t="s">
        <v>79</v>
      </c>
      <c r="L2" s="146" t="s">
        <v>80</v>
      </c>
      <c r="M2" s="560">
        <v>2022</v>
      </c>
      <c r="N2" s="560">
        <v>2023</v>
      </c>
      <c r="O2" s="560">
        <f>N2+1</f>
        <v>2024</v>
      </c>
      <c r="P2" s="560">
        <f t="shared" ref="P2:W2" si="0">O2+1</f>
        <v>2025</v>
      </c>
      <c r="Q2" s="561">
        <f t="shared" si="0"/>
        <v>2026</v>
      </c>
      <c r="R2" s="562">
        <f t="shared" si="0"/>
        <v>2027</v>
      </c>
      <c r="S2" s="560">
        <f t="shared" si="0"/>
        <v>2028</v>
      </c>
      <c r="T2" s="560">
        <f t="shared" si="0"/>
        <v>2029</v>
      </c>
      <c r="U2" s="561">
        <f t="shared" si="0"/>
        <v>2030</v>
      </c>
      <c r="V2" s="562">
        <f t="shared" si="0"/>
        <v>2031</v>
      </c>
      <c r="W2" s="560">
        <f t="shared" si="0"/>
        <v>2032</v>
      </c>
    </row>
    <row r="3" spans="3:29" ht="15" x14ac:dyDescent="0.25">
      <c r="C3" s="149"/>
      <c r="D3" s="151">
        <v>44276</v>
      </c>
      <c r="E3" s="149">
        <v>44368</v>
      </c>
      <c r="F3" s="149">
        <v>44460</v>
      </c>
      <c r="G3" s="232">
        <v>44551</v>
      </c>
      <c r="H3" s="232">
        <v>44551</v>
      </c>
      <c r="I3" s="151">
        <v>44621</v>
      </c>
      <c r="J3" s="149">
        <v>44742</v>
      </c>
      <c r="K3" s="149">
        <v>44834</v>
      </c>
      <c r="L3" s="149">
        <v>44916</v>
      </c>
      <c r="M3" s="149">
        <v>44916</v>
      </c>
      <c r="N3" s="149">
        <v>44916</v>
      </c>
      <c r="O3" s="149">
        <v>45657</v>
      </c>
      <c r="P3" s="149">
        <f>O3+365</f>
        <v>46022</v>
      </c>
      <c r="Q3" s="232">
        <f t="shared" ref="Q3:W3" si="1">P3+365</f>
        <v>46387</v>
      </c>
      <c r="R3" s="151">
        <f t="shared" si="1"/>
        <v>46752</v>
      </c>
      <c r="S3" s="149">
        <f t="shared" si="1"/>
        <v>47117</v>
      </c>
      <c r="T3" s="149">
        <f t="shared" si="1"/>
        <v>47482</v>
      </c>
      <c r="U3" s="232">
        <f t="shared" si="1"/>
        <v>47847</v>
      </c>
      <c r="V3" s="151">
        <f t="shared" si="1"/>
        <v>48212</v>
      </c>
      <c r="W3" s="149">
        <f t="shared" si="1"/>
        <v>48577</v>
      </c>
    </row>
    <row r="4" spans="3:29" x14ac:dyDescent="0.2">
      <c r="C4" s="152"/>
      <c r="D4" s="154" t="s">
        <v>90</v>
      </c>
      <c r="E4" s="152" t="s">
        <v>90</v>
      </c>
      <c r="F4" s="152" t="s">
        <v>90</v>
      </c>
      <c r="G4" s="235" t="s">
        <v>90</v>
      </c>
      <c r="H4" s="235" t="s">
        <v>90</v>
      </c>
      <c r="I4" s="544" t="s">
        <v>90</v>
      </c>
      <c r="J4" s="235" t="s">
        <v>90</v>
      </c>
      <c r="K4" s="152" t="s">
        <v>91</v>
      </c>
      <c r="L4" s="152" t="s">
        <v>91</v>
      </c>
      <c r="M4" s="235" t="s">
        <v>91</v>
      </c>
      <c r="N4" s="235" t="s">
        <v>91</v>
      </c>
      <c r="O4" s="235" t="s">
        <v>91</v>
      </c>
      <c r="P4" s="235" t="s">
        <v>91</v>
      </c>
      <c r="Q4" s="235" t="s">
        <v>91</v>
      </c>
      <c r="R4" s="235" t="s">
        <v>91</v>
      </c>
      <c r="S4" s="235" t="s">
        <v>91</v>
      </c>
      <c r="T4" s="235" t="s">
        <v>91</v>
      </c>
      <c r="U4" s="235" t="s">
        <v>91</v>
      </c>
      <c r="V4" s="235" t="s">
        <v>91</v>
      </c>
      <c r="W4" s="235" t="s">
        <v>91</v>
      </c>
    </row>
    <row r="5" spans="3:29" ht="6" customHeight="1" x14ac:dyDescent="0.2"/>
    <row r="6" spans="3:29" ht="15" outlineLevel="1" x14ac:dyDescent="0.25">
      <c r="C6" s="527" t="s">
        <v>662</v>
      </c>
      <c r="D6" s="527"/>
      <c r="E6" s="527"/>
      <c r="F6" s="527"/>
      <c r="G6" s="527"/>
      <c r="H6" s="545"/>
      <c r="I6" s="527"/>
      <c r="J6" s="527"/>
      <c r="K6" s="527"/>
      <c r="L6" s="527"/>
      <c r="M6" s="527"/>
      <c r="N6" s="527"/>
      <c r="O6" s="527"/>
      <c r="P6" s="527"/>
      <c r="Q6" s="527"/>
      <c r="R6" s="527"/>
      <c r="S6" s="527"/>
      <c r="T6" s="527"/>
      <c r="U6" s="527"/>
      <c r="V6" s="527"/>
      <c r="W6" s="527"/>
    </row>
    <row r="7" spans="3:29" ht="6" customHeight="1" outlineLevel="1" x14ac:dyDescent="0.2"/>
    <row r="8" spans="3:29" hidden="1" outlineLevel="2" x14ac:dyDescent="0.2">
      <c r="C8" s="1" t="s">
        <v>668</v>
      </c>
      <c r="D8" s="18">
        <v>33.369</v>
      </c>
      <c r="E8" s="18">
        <v>51.241999999999997</v>
      </c>
      <c r="F8" s="18">
        <v>38.640999999999998</v>
      </c>
      <c r="G8" s="18">
        <f>H8-SUM(D8:F8)</f>
        <v>32.566000000000031</v>
      </c>
      <c r="H8" s="272">
        <v>155.81800000000001</v>
      </c>
      <c r="I8" s="18">
        <v>46.829000000000001</v>
      </c>
      <c r="J8" s="18">
        <v>56.820999999999998</v>
      </c>
    </row>
    <row r="9" spans="3:29" hidden="1" outlineLevel="2" x14ac:dyDescent="0.2">
      <c r="C9" s="1" t="s">
        <v>669</v>
      </c>
      <c r="D9" s="18">
        <v>12.234999999999999</v>
      </c>
      <c r="E9" s="18">
        <v>8.48</v>
      </c>
      <c r="F9" s="18">
        <v>21.199000000000002</v>
      </c>
      <c r="G9" s="18">
        <f>H9-SUM(D9:F9)</f>
        <v>15.479999999999997</v>
      </c>
      <c r="H9" s="272">
        <v>57.393999999999998</v>
      </c>
      <c r="I9" s="18">
        <v>21.146999999999998</v>
      </c>
      <c r="J9" s="18">
        <v>16.669</v>
      </c>
    </row>
    <row r="10" spans="3:29" hidden="1" outlineLevel="2" x14ac:dyDescent="0.2"/>
    <row r="11" spans="3:29" ht="15" outlineLevel="1" collapsed="1" x14ac:dyDescent="0.25">
      <c r="C11" s="73" t="s">
        <v>84</v>
      </c>
      <c r="D11" s="530">
        <f>IS!S9</f>
        <v>45.603999999999999</v>
      </c>
      <c r="E11" s="530">
        <f>IS!T9</f>
        <v>59.722000000000001</v>
      </c>
      <c r="F11" s="530">
        <f>IS!U9</f>
        <v>59.84</v>
      </c>
      <c r="G11" s="530">
        <f>IS!V9</f>
        <v>48.045999999999992</v>
      </c>
      <c r="H11" s="546">
        <f>IS!G9</f>
        <v>213.21199999999999</v>
      </c>
      <c r="I11" s="530">
        <f>IS!W9</f>
        <v>67.975999999999999</v>
      </c>
      <c r="J11" s="530">
        <f>IS!X9</f>
        <v>73.489999999999995</v>
      </c>
      <c r="K11" s="530">
        <f>IS!Y9</f>
        <v>89.76</v>
      </c>
      <c r="L11" s="530">
        <f>IS!Z9</f>
        <v>72.068999999999988</v>
      </c>
      <c r="M11" s="530">
        <f>SUM(I11:L11)</f>
        <v>303.29499999999996</v>
      </c>
      <c r="N11" s="530">
        <f>'DCF - 10 Year'!E18</f>
        <v>470.10725000000002</v>
      </c>
      <c r="O11" s="530">
        <f>'DCF - 10 Year'!F18</f>
        <v>611.13942500000007</v>
      </c>
      <c r="P11" s="530">
        <f>'DCF - 10 Year'!G18</f>
        <v>763.92428125000015</v>
      </c>
      <c r="Q11" s="530">
        <f>'DCF - 10 Year'!H18</f>
        <v>916.70913750000011</v>
      </c>
      <c r="R11" s="530">
        <f>'DCF - 10 Year'!I18</f>
        <v>1054.215508125</v>
      </c>
      <c r="S11" s="530">
        <f>'DCF - 10 Year'!J18</f>
        <v>1159.6370589375001</v>
      </c>
      <c r="T11" s="530">
        <f>'DCF - 10 Year'!K18</f>
        <v>1275.6007648312502</v>
      </c>
      <c r="U11" s="530">
        <f>'DCF - 10 Year'!L18</f>
        <v>1403.1608413143754</v>
      </c>
      <c r="V11" s="530">
        <f>'DCF - 10 Year'!M18</f>
        <v>1543.4769254458131</v>
      </c>
      <c r="W11" s="530">
        <f>'DCF - 10 Year'!N18</f>
        <v>1697.8246179903945</v>
      </c>
    </row>
    <row r="12" spans="3:29" outlineLevel="1" x14ac:dyDescent="0.2">
      <c r="C12" s="38" t="s">
        <v>59</v>
      </c>
      <c r="M12" s="30">
        <f>M11/H11-1</f>
        <v>0.42250436185580531</v>
      </c>
      <c r="N12" s="30">
        <f>N11/M11-1</f>
        <v>0.55000000000000027</v>
      </c>
      <c r="O12" s="30">
        <f t="shared" ref="O12:W12" si="2">O11/N11-1</f>
        <v>0.30000000000000004</v>
      </c>
      <c r="P12" s="30">
        <f t="shared" si="2"/>
        <v>0.25</v>
      </c>
      <c r="Q12" s="30">
        <f t="shared" si="2"/>
        <v>0.19999999999999996</v>
      </c>
      <c r="R12" s="30">
        <f t="shared" si="2"/>
        <v>0.14999999999999991</v>
      </c>
      <c r="S12" s="30">
        <f t="shared" si="2"/>
        <v>0.10000000000000009</v>
      </c>
      <c r="T12" s="30">
        <f t="shared" si="2"/>
        <v>0.10000000000000009</v>
      </c>
      <c r="U12" s="30">
        <f t="shared" si="2"/>
        <v>0.10000000000000009</v>
      </c>
      <c r="V12" s="30">
        <f t="shared" si="2"/>
        <v>0.10000000000000009</v>
      </c>
      <c r="W12" s="30">
        <f t="shared" si="2"/>
        <v>0.10000000000000009</v>
      </c>
    </row>
    <row r="13" spans="3:29" ht="6" customHeight="1" outlineLevel="1" x14ac:dyDescent="0.2"/>
    <row r="14" spans="3:29" outlineLevel="1" x14ac:dyDescent="0.2">
      <c r="C14" s="396" t="s">
        <v>663</v>
      </c>
      <c r="D14" s="37">
        <f>D15*D$11</f>
        <v>45.603999999999999</v>
      </c>
      <c r="E14" s="37">
        <f t="shared" ref="E14:H14" si="3">E15*E$11</f>
        <v>59.722000000000001</v>
      </c>
      <c r="F14" s="37">
        <f t="shared" si="3"/>
        <v>59.84</v>
      </c>
      <c r="G14" s="37">
        <f t="shared" si="3"/>
        <v>48.045999999999992</v>
      </c>
      <c r="H14" s="547">
        <f t="shared" si="3"/>
        <v>213.21199999999999</v>
      </c>
      <c r="I14" s="37">
        <f t="shared" ref="I14" si="4">I15*I$11</f>
        <v>66.276600000000002</v>
      </c>
      <c r="J14" s="37">
        <f>(J$11-J$29)*J15</f>
        <v>69.299467499999992</v>
      </c>
      <c r="K14" s="37">
        <f t="shared" ref="K14:W14" si="5">(K$11-K$29)*K15</f>
        <v>82.284239999999997</v>
      </c>
      <c r="L14" s="37">
        <f t="shared" si="5"/>
        <v>64.62066249999998</v>
      </c>
      <c r="M14" s="37">
        <f t="shared" si="5"/>
        <v>271.16675624999999</v>
      </c>
      <c r="N14" s="37">
        <f t="shared" si="5"/>
        <v>386.94778083333335</v>
      </c>
      <c r="O14" s="37">
        <f t="shared" si="5"/>
        <v>465.11223333333339</v>
      </c>
      <c r="P14" s="37">
        <f t="shared" si="5"/>
        <v>532.78188093750009</v>
      </c>
      <c r="Q14" s="37">
        <f t="shared" si="5"/>
        <v>594.84151125000005</v>
      </c>
      <c r="R14" s="37">
        <f t="shared" si="5"/>
        <v>657.37767248437501</v>
      </c>
      <c r="S14" s="37">
        <f t="shared" si="5"/>
        <v>693.7228999593749</v>
      </c>
      <c r="T14" s="37">
        <f t="shared" si="5"/>
        <v>730.85877936328143</v>
      </c>
      <c r="U14" s="37">
        <f t="shared" si="5"/>
        <v>768.60006947212503</v>
      </c>
      <c r="V14" s="37">
        <f t="shared" si="5"/>
        <v>771.64565009905334</v>
      </c>
      <c r="W14" s="37">
        <f t="shared" si="5"/>
        <v>768.1335292401377</v>
      </c>
    </row>
    <row r="15" spans="3:29" outlineLevel="1" x14ac:dyDescent="0.2">
      <c r="C15" s="558" t="s">
        <v>667</v>
      </c>
      <c r="D15" s="32">
        <v>1</v>
      </c>
      <c r="E15" s="32">
        <v>1</v>
      </c>
      <c r="F15" s="32">
        <v>1</v>
      </c>
      <c r="G15" s="32">
        <v>1</v>
      </c>
      <c r="H15" s="548">
        <v>1</v>
      </c>
      <c r="I15" s="33">
        <f>1-I18</f>
        <v>0.97499999999999998</v>
      </c>
      <c r="J15" s="33">
        <f t="shared" ref="J15:L15" si="6">1-J18</f>
        <v>0.97</v>
      </c>
      <c r="K15" s="33">
        <f t="shared" si="6"/>
        <v>0.96</v>
      </c>
      <c r="L15" s="33">
        <f t="shared" si="6"/>
        <v>0.95</v>
      </c>
      <c r="M15" s="36">
        <f>1-M18</f>
        <v>0.92500000000000004</v>
      </c>
      <c r="N15" s="36">
        <f>1-N18</f>
        <v>0.85</v>
      </c>
      <c r="O15" s="36">
        <f t="shared" ref="O15:W15" si="7">1-O18</f>
        <v>0.8</v>
      </c>
      <c r="P15" s="36">
        <f t="shared" si="7"/>
        <v>0.75</v>
      </c>
      <c r="Q15" s="36">
        <f t="shared" si="7"/>
        <v>0.7</v>
      </c>
      <c r="R15" s="36">
        <f t="shared" si="7"/>
        <v>0.67500000000000004</v>
      </c>
      <c r="S15" s="36">
        <f t="shared" si="7"/>
        <v>0.64999999999999991</v>
      </c>
      <c r="T15" s="36">
        <f t="shared" si="7"/>
        <v>0.625</v>
      </c>
      <c r="U15" s="36">
        <f t="shared" si="7"/>
        <v>0.59999999999999987</v>
      </c>
      <c r="V15" s="36">
        <f t="shared" si="7"/>
        <v>0.54999999999999993</v>
      </c>
      <c r="W15" s="36">
        <f t="shared" si="7"/>
        <v>0.49999999999999989</v>
      </c>
    </row>
    <row r="16" spans="3:29" ht="6" customHeight="1" outlineLevel="1" x14ac:dyDescent="0.2">
      <c r="C16" s="396"/>
    </row>
    <row r="17" spans="3:23" outlineLevel="1" x14ac:dyDescent="0.2">
      <c r="C17" s="396" t="s">
        <v>664</v>
      </c>
      <c r="D17" s="37">
        <f>D18*D$11</f>
        <v>0</v>
      </c>
      <c r="E17" s="37">
        <f t="shared" ref="E17" si="8">E18*E$11</f>
        <v>0</v>
      </c>
      <c r="F17" s="37">
        <f t="shared" ref="F17" si="9">F18*F$11</f>
        <v>0</v>
      </c>
      <c r="G17" s="37">
        <f t="shared" ref="G17" si="10">G18*G$11</f>
        <v>0</v>
      </c>
      <c r="H17" s="547">
        <f t="shared" ref="H17" si="11">H18*H$11</f>
        <v>0</v>
      </c>
      <c r="I17" s="37">
        <f t="shared" ref="I17" si="12">I18*I$11</f>
        <v>1.6994</v>
      </c>
      <c r="J17" s="37">
        <f>(J$11-J$29)*J18</f>
        <v>2.1432824999999998</v>
      </c>
      <c r="K17" s="37">
        <f t="shared" ref="K17:W17" si="13">(K$11-K$29)*K18</f>
        <v>3.4285100000000002</v>
      </c>
      <c r="L17" s="37">
        <f t="shared" si="13"/>
        <v>3.4010874999999992</v>
      </c>
      <c r="M17" s="37">
        <f t="shared" si="13"/>
        <v>21.986493749999998</v>
      </c>
      <c r="N17" s="37">
        <f t="shared" si="13"/>
        <v>68.284902500000001</v>
      </c>
      <c r="O17" s="37">
        <f t="shared" si="13"/>
        <v>116.27805833333335</v>
      </c>
      <c r="P17" s="37">
        <f t="shared" si="13"/>
        <v>177.59396031250003</v>
      </c>
      <c r="Q17" s="37">
        <f t="shared" si="13"/>
        <v>254.93207625000002</v>
      </c>
      <c r="R17" s="37">
        <f t="shared" si="13"/>
        <v>316.51517564062499</v>
      </c>
      <c r="S17" s="37">
        <f t="shared" si="13"/>
        <v>373.54309997812504</v>
      </c>
      <c r="T17" s="37">
        <f t="shared" si="13"/>
        <v>438.51526761796896</v>
      </c>
      <c r="U17" s="37">
        <f t="shared" si="13"/>
        <v>512.40004631475017</v>
      </c>
      <c r="V17" s="37">
        <f t="shared" si="13"/>
        <v>631.34644099013474</v>
      </c>
      <c r="W17" s="37">
        <f t="shared" si="13"/>
        <v>768.13352924013816</v>
      </c>
    </row>
    <row r="18" spans="3:23" outlineLevel="1" x14ac:dyDescent="0.2">
      <c r="C18" s="558" t="s">
        <v>667</v>
      </c>
      <c r="D18" s="32">
        <v>0</v>
      </c>
      <c r="E18" s="32">
        <v>0</v>
      </c>
      <c r="F18" s="32">
        <v>0</v>
      </c>
      <c r="G18" s="32">
        <v>0</v>
      </c>
      <c r="H18" s="549">
        <v>0</v>
      </c>
      <c r="I18" s="339">
        <v>2.5000000000000001E-2</v>
      </c>
      <c r="J18" s="339">
        <v>0.03</v>
      </c>
      <c r="K18" s="339">
        <v>0.04</v>
      </c>
      <c r="L18" s="339">
        <v>0.05</v>
      </c>
      <c r="M18" s="339">
        <v>7.4999999999999997E-2</v>
      </c>
      <c r="N18" s="339">
        <v>0.15</v>
      </c>
      <c r="O18" s="339">
        <v>0.2</v>
      </c>
      <c r="P18" s="339">
        <v>0.25</v>
      </c>
      <c r="Q18" s="339">
        <v>0.3</v>
      </c>
      <c r="R18" s="36">
        <f t="shared" ref="R18:U18" si="14">Q18+2.5%</f>
        <v>0.32500000000000001</v>
      </c>
      <c r="S18" s="36">
        <f t="shared" si="14"/>
        <v>0.35000000000000003</v>
      </c>
      <c r="T18" s="36">
        <f t="shared" si="14"/>
        <v>0.37500000000000006</v>
      </c>
      <c r="U18" s="36">
        <f t="shared" si="14"/>
        <v>0.40000000000000008</v>
      </c>
      <c r="V18" s="36">
        <f t="shared" ref="V18:W18" si="15">U18+5%</f>
        <v>0.45000000000000007</v>
      </c>
      <c r="W18" s="36">
        <f t="shared" si="15"/>
        <v>0.50000000000000011</v>
      </c>
    </row>
    <row r="19" spans="3:23" ht="6" customHeight="1" outlineLevel="1" x14ac:dyDescent="0.2">
      <c r="C19" s="396"/>
    </row>
    <row r="20" spans="3:23" ht="15" outlineLevel="1" x14ac:dyDescent="0.25">
      <c r="C20" s="557" t="s">
        <v>670</v>
      </c>
      <c r="D20" s="526">
        <f>SUM(D14,D17)</f>
        <v>45.603999999999999</v>
      </c>
      <c r="E20" s="526">
        <f t="shared" ref="E20:W20" si="16">SUM(E14,E17)</f>
        <v>59.722000000000001</v>
      </c>
      <c r="F20" s="526">
        <f t="shared" si="16"/>
        <v>59.84</v>
      </c>
      <c r="G20" s="526">
        <f t="shared" si="16"/>
        <v>48.045999999999992</v>
      </c>
      <c r="H20" s="550">
        <f t="shared" si="16"/>
        <v>213.21199999999999</v>
      </c>
      <c r="I20" s="526">
        <f t="shared" si="16"/>
        <v>67.975999999999999</v>
      </c>
      <c r="J20" s="526">
        <f t="shared" si="16"/>
        <v>71.44274999999999</v>
      </c>
      <c r="K20" s="526">
        <f t="shared" si="16"/>
        <v>85.71275</v>
      </c>
      <c r="L20" s="526">
        <f t="shared" si="16"/>
        <v>68.021749999999983</v>
      </c>
      <c r="M20" s="526">
        <f t="shared" si="16"/>
        <v>293.15325000000001</v>
      </c>
      <c r="N20" s="526">
        <f t="shared" si="16"/>
        <v>455.23268333333334</v>
      </c>
      <c r="O20" s="526">
        <f t="shared" si="16"/>
        <v>581.39029166666671</v>
      </c>
      <c r="P20" s="526">
        <f t="shared" si="16"/>
        <v>710.37584125000012</v>
      </c>
      <c r="Q20" s="526">
        <f t="shared" si="16"/>
        <v>849.77358750000008</v>
      </c>
      <c r="R20" s="526">
        <f t="shared" si="16"/>
        <v>973.892848125</v>
      </c>
      <c r="S20" s="526">
        <f t="shared" si="16"/>
        <v>1067.2659999375001</v>
      </c>
      <c r="T20" s="526">
        <f t="shared" si="16"/>
        <v>1169.3740469812503</v>
      </c>
      <c r="U20" s="526">
        <f t="shared" si="16"/>
        <v>1281.0001157868751</v>
      </c>
      <c r="V20" s="526">
        <f t="shared" si="16"/>
        <v>1402.9920910891881</v>
      </c>
      <c r="W20" s="526">
        <f t="shared" si="16"/>
        <v>1536.2670584802759</v>
      </c>
    </row>
    <row r="21" spans="3:23" outlineLevel="1" x14ac:dyDescent="0.2">
      <c r="C21" s="397" t="s">
        <v>59</v>
      </c>
      <c r="M21" s="30">
        <f>M20/H20-1</f>
        <v>0.37493785528019075</v>
      </c>
      <c r="N21" s="30">
        <f>N20/M20-1</f>
        <v>0.55288294887855871</v>
      </c>
      <c r="O21" s="30">
        <f t="shared" ref="O21" si="17">O20/N20-1</f>
        <v>0.27712774796742234</v>
      </c>
      <c r="P21" s="30">
        <f t="shared" ref="P21" si="18">P20/O20-1</f>
        <v>0.22185707507012475</v>
      </c>
      <c r="Q21" s="30">
        <f t="shared" ref="Q21" si="19">Q20/P20-1</f>
        <v>0.19623097824485591</v>
      </c>
      <c r="R21" s="30">
        <f t="shared" ref="R21" si="20">R20/Q20-1</f>
        <v>0.1460615656343871</v>
      </c>
      <c r="S21" s="30">
        <f t="shared" ref="S21" si="21">S20/R20-1</f>
        <v>9.5876206496708472E-2</v>
      </c>
      <c r="T21" s="30">
        <f t="shared" ref="T21" si="22">T20/S20-1</f>
        <v>9.5672538101775784E-2</v>
      </c>
      <c r="U21" s="30">
        <f t="shared" ref="U21" si="23">U20/T20-1</f>
        <v>9.5457966673528016E-2</v>
      </c>
      <c r="V21" s="30">
        <f t="shared" ref="V21" si="24">V20/U20-1</f>
        <v>9.5231822229288055E-2</v>
      </c>
      <c r="W21" s="30">
        <f t="shared" ref="W21" si="25">W20/V20-1</f>
        <v>9.4993384665213787E-2</v>
      </c>
    </row>
    <row r="22" spans="3:23" ht="6" customHeight="1" outlineLevel="1" x14ac:dyDescent="0.2">
      <c r="C22" s="396"/>
    </row>
    <row r="23" spans="3:23" outlineLevel="1" x14ac:dyDescent="0.2">
      <c r="C23" s="396" t="s">
        <v>665</v>
      </c>
      <c r="J23" s="529">
        <f>(J9-E9)*25%</f>
        <v>2.04725</v>
      </c>
      <c r="K23" s="37">
        <f>J23*(1+K24)</f>
        <v>2.04725</v>
      </c>
      <c r="L23" s="37">
        <f>K23*(1+L24)</f>
        <v>2.04725</v>
      </c>
      <c r="M23" s="37">
        <f>SUM(I23:L23)</f>
        <v>6.14175</v>
      </c>
      <c r="N23" s="37">
        <f>(M23/3*4)*1.1</f>
        <v>9.0079000000000011</v>
      </c>
      <c r="O23" s="37">
        <f>N23*(1+O24)</f>
        <v>18.015800000000002</v>
      </c>
      <c r="P23" s="37">
        <f t="shared" ref="P23:W23" si="26">O23*(1+P24)</f>
        <v>32.428440000000002</v>
      </c>
      <c r="Q23" s="37">
        <f t="shared" si="26"/>
        <v>40.535550000000001</v>
      </c>
      <c r="R23" s="37">
        <f t="shared" si="26"/>
        <v>48.642659999999999</v>
      </c>
      <c r="S23" s="37">
        <f t="shared" si="26"/>
        <v>55.939058999999993</v>
      </c>
      <c r="T23" s="37">
        <f t="shared" si="26"/>
        <v>64.329917849999987</v>
      </c>
      <c r="U23" s="37">
        <f t="shared" si="26"/>
        <v>73.979405527499978</v>
      </c>
      <c r="V23" s="37">
        <f t="shared" si="26"/>
        <v>85.076316356624972</v>
      </c>
      <c r="W23" s="37">
        <f t="shared" si="26"/>
        <v>97.837763810118716</v>
      </c>
    </row>
    <row r="24" spans="3:23" outlineLevel="1" x14ac:dyDescent="0.2">
      <c r="C24" s="397" t="s">
        <v>59</v>
      </c>
      <c r="M24" s="30"/>
      <c r="N24" s="30">
        <v>0.25</v>
      </c>
      <c r="O24" s="30">
        <v>1</v>
      </c>
      <c r="P24" s="30">
        <v>0.8</v>
      </c>
      <c r="Q24" s="30">
        <v>0.25</v>
      </c>
      <c r="R24" s="30">
        <v>0.2</v>
      </c>
      <c r="S24" s="30">
        <v>0.15</v>
      </c>
      <c r="T24" s="30">
        <f>S24</f>
        <v>0.15</v>
      </c>
      <c r="U24" s="30">
        <f t="shared" ref="U24:W24" si="27">T24</f>
        <v>0.15</v>
      </c>
      <c r="V24" s="30">
        <f t="shared" si="27"/>
        <v>0.15</v>
      </c>
      <c r="W24" s="30">
        <f t="shared" si="27"/>
        <v>0.15</v>
      </c>
    </row>
    <row r="25" spans="3:23" ht="6" customHeight="1" outlineLevel="1" x14ac:dyDescent="0.2">
      <c r="C25" s="396"/>
    </row>
    <row r="26" spans="3:23" outlineLevel="1" x14ac:dyDescent="0.2">
      <c r="C26" s="396" t="s">
        <v>666</v>
      </c>
      <c r="J26" s="37"/>
      <c r="K26" s="529">
        <v>2</v>
      </c>
      <c r="L26" s="37">
        <f>K26*(1+L27)</f>
        <v>2</v>
      </c>
      <c r="M26" s="37">
        <f>SUM(I26:L26)</f>
        <v>4</v>
      </c>
      <c r="N26" s="37">
        <f>(M26/3*4)*1.1</f>
        <v>5.8666666666666671</v>
      </c>
      <c r="O26" s="37">
        <f>N26*(1+O27)</f>
        <v>11.733333333333334</v>
      </c>
      <c r="P26" s="37">
        <f t="shared" ref="P26:W26" si="28">O26*(1+P27)</f>
        <v>21.12</v>
      </c>
      <c r="Q26" s="37">
        <f t="shared" si="28"/>
        <v>26.400000000000002</v>
      </c>
      <c r="R26" s="37">
        <f t="shared" si="28"/>
        <v>31.68</v>
      </c>
      <c r="S26" s="37">
        <f t="shared" si="28"/>
        <v>36.431999999999995</v>
      </c>
      <c r="T26" s="37">
        <f t="shared" si="28"/>
        <v>41.896799999999992</v>
      </c>
      <c r="U26" s="37">
        <f t="shared" si="28"/>
        <v>48.181319999999985</v>
      </c>
      <c r="V26" s="37">
        <f t="shared" si="28"/>
        <v>55.40851799999998</v>
      </c>
      <c r="W26" s="37">
        <f t="shared" si="28"/>
        <v>63.71979569999997</v>
      </c>
    </row>
    <row r="27" spans="3:23" outlineLevel="1" x14ac:dyDescent="0.2">
      <c r="C27" s="397" t="s">
        <v>59</v>
      </c>
      <c r="M27" s="30"/>
      <c r="N27" s="30">
        <v>0.25</v>
      </c>
      <c r="O27" s="30">
        <v>1</v>
      </c>
      <c r="P27" s="30">
        <v>0.8</v>
      </c>
      <c r="Q27" s="30">
        <v>0.25</v>
      </c>
      <c r="R27" s="30">
        <v>0.2</v>
      </c>
      <c r="S27" s="30">
        <v>0.15</v>
      </c>
      <c r="T27" s="30">
        <f>S27</f>
        <v>0.15</v>
      </c>
      <c r="U27" s="30">
        <f t="shared" ref="U27:W27" si="29">T27</f>
        <v>0.15</v>
      </c>
      <c r="V27" s="30">
        <f t="shared" si="29"/>
        <v>0.15</v>
      </c>
      <c r="W27" s="30">
        <f t="shared" si="29"/>
        <v>0.15</v>
      </c>
    </row>
    <row r="28" spans="3:23" ht="6" customHeight="1" outlineLevel="1" x14ac:dyDescent="0.2">
      <c r="C28" s="396"/>
    </row>
    <row r="29" spans="3:23" ht="15" outlineLevel="1" x14ac:dyDescent="0.25">
      <c r="C29" s="557" t="s">
        <v>671</v>
      </c>
      <c r="D29" s="181"/>
      <c r="E29" s="181"/>
      <c r="F29" s="181"/>
      <c r="G29" s="181"/>
      <c r="H29" s="376"/>
      <c r="I29" s="181"/>
      <c r="J29" s="528">
        <f>SUM(J23,J26)</f>
        <v>2.04725</v>
      </c>
      <c r="K29" s="528">
        <f>SUM(K23,K26)</f>
        <v>4.04725</v>
      </c>
      <c r="L29" s="528">
        <f>SUM(L23,L26)</f>
        <v>4.04725</v>
      </c>
      <c r="M29" s="528">
        <f t="shared" ref="M29:W29" si="30">SUM(M23,M26)</f>
        <v>10.14175</v>
      </c>
      <c r="N29" s="528">
        <f t="shared" si="30"/>
        <v>14.874566666666668</v>
      </c>
      <c r="O29" s="528">
        <f t="shared" si="30"/>
        <v>29.749133333333337</v>
      </c>
      <c r="P29" s="528">
        <f t="shared" si="30"/>
        <v>53.548439999999999</v>
      </c>
      <c r="Q29" s="528">
        <f t="shared" si="30"/>
        <v>66.935550000000006</v>
      </c>
      <c r="R29" s="528">
        <f t="shared" si="30"/>
        <v>80.322659999999999</v>
      </c>
      <c r="S29" s="528">
        <f t="shared" si="30"/>
        <v>92.371058999999988</v>
      </c>
      <c r="T29" s="528">
        <f t="shared" si="30"/>
        <v>106.22671784999997</v>
      </c>
      <c r="U29" s="528">
        <f t="shared" si="30"/>
        <v>122.16072552749996</v>
      </c>
      <c r="V29" s="528">
        <f t="shared" si="30"/>
        <v>140.48483435662496</v>
      </c>
      <c r="W29" s="528">
        <f t="shared" si="30"/>
        <v>161.55755951011869</v>
      </c>
    </row>
    <row r="30" spans="3:23" outlineLevel="1" x14ac:dyDescent="0.2">
      <c r="C30" s="397" t="s">
        <v>59</v>
      </c>
      <c r="J30" s="87">
        <f>J29/J11</f>
        <v>2.7857531636957412E-2</v>
      </c>
      <c r="K30" s="87">
        <f t="shared" ref="K30:L30" si="31">K29/K11</f>
        <v>4.5089683600713013E-2</v>
      </c>
      <c r="L30" s="87">
        <f t="shared" si="31"/>
        <v>5.6157987484216521E-2</v>
      </c>
      <c r="M30" s="30">
        <f t="shared" ref="M30" si="32">M29/M11</f>
        <v>3.3438566412238913E-2</v>
      </c>
      <c r="N30" s="30">
        <f t="shared" ref="N30" si="33">N29/N11</f>
        <v>3.164079402448413E-2</v>
      </c>
      <c r="O30" s="30">
        <f t="shared" ref="O30" si="34">O29/O11</f>
        <v>4.8678144653052507E-2</v>
      </c>
      <c r="P30" s="30">
        <f t="shared" ref="P30" si="35">P29/P11</f>
        <v>7.0096528300395589E-2</v>
      </c>
      <c r="Q30" s="30">
        <f t="shared" ref="Q30" si="36">Q29/Q11</f>
        <v>7.3017216979578761E-2</v>
      </c>
      <c r="R30" s="30">
        <f t="shared" ref="R30" si="37">R29/R11</f>
        <v>7.6191878587386533E-2</v>
      </c>
      <c r="S30" s="30">
        <f t="shared" ref="S30" si="38">S29/S11</f>
        <v>7.9655145795904089E-2</v>
      </c>
      <c r="T30" s="30">
        <f t="shared" ref="T30" si="39">T29/T11</f>
        <v>8.3275834241172436E-2</v>
      </c>
      <c r="U30" s="30">
        <f t="shared" ref="U30" si="40">U29/U11</f>
        <v>8.7061099433952988E-2</v>
      </c>
      <c r="V30" s="30">
        <f t="shared" ref="V30:W30" si="41">V29/V11</f>
        <v>9.1018422135496296E-2</v>
      </c>
      <c r="W30" s="30">
        <f t="shared" si="41"/>
        <v>9.515562314165521E-2</v>
      </c>
    </row>
    <row r="31" spans="3:23" ht="6" customHeight="1" outlineLevel="1" x14ac:dyDescent="0.2"/>
    <row r="32" spans="3:23" ht="15" outlineLevel="1" x14ac:dyDescent="0.25">
      <c r="C32" s="75" t="s">
        <v>689</v>
      </c>
      <c r="D32" s="75"/>
      <c r="E32" s="75"/>
      <c r="F32" s="75"/>
      <c r="G32" s="75"/>
      <c r="H32" s="372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</row>
    <row r="33" spans="3:23" outlineLevel="1" x14ac:dyDescent="0.2">
      <c r="C33" s="1" t="s">
        <v>694</v>
      </c>
      <c r="H33" s="334">
        <f>H20/H11</f>
        <v>1</v>
      </c>
      <c r="M33" s="87">
        <f>M20/M11</f>
        <v>0.96656143358776125</v>
      </c>
      <c r="N33" s="87">
        <f>N20/N11</f>
        <v>0.96835920597551584</v>
      </c>
      <c r="O33" s="87">
        <f>O20/O11</f>
        <v>0.95132185534694746</v>
      </c>
      <c r="P33" s="87">
        <f>P20/P11</f>
        <v>0.92990347169960441</v>
      </c>
      <c r="Q33" s="87">
        <f>Q20/Q11</f>
        <v>0.92698278302042125</v>
      </c>
      <c r="R33" s="87">
        <f>R20/R11</f>
        <v>0.92380812141261348</v>
      </c>
      <c r="S33" s="87">
        <f>S20/S11</f>
        <v>0.92034485420409584</v>
      </c>
      <c r="T33" s="87">
        <f>T20/T11</f>
        <v>0.91672416575882765</v>
      </c>
      <c r="U33" s="87">
        <f>U20/U11</f>
        <v>0.91293890056604676</v>
      </c>
      <c r="V33" s="87">
        <f>V20/V11</f>
        <v>0.90898157786450362</v>
      </c>
      <c r="W33" s="87">
        <f>W20/W11</f>
        <v>0.90484437685834485</v>
      </c>
    </row>
    <row r="34" spans="3:23" outlineLevel="1" x14ac:dyDescent="0.2">
      <c r="C34" s="1" t="s">
        <v>690</v>
      </c>
      <c r="H34" s="334">
        <f>H14/H$11</f>
        <v>1</v>
      </c>
      <c r="M34" s="87">
        <f>M14/M$11</f>
        <v>0.89406932606867906</v>
      </c>
      <c r="N34" s="87">
        <f>N14/N$11</f>
        <v>0.82310532507918854</v>
      </c>
      <c r="O34" s="87">
        <f>O14/O$11</f>
        <v>0.76105748427755804</v>
      </c>
      <c r="P34" s="87">
        <f>P14/P$11</f>
        <v>0.69742760377470325</v>
      </c>
      <c r="Q34" s="87">
        <f>Q14/Q$11</f>
        <v>0.64888794811429484</v>
      </c>
      <c r="R34" s="87">
        <f>R14/R$11</f>
        <v>0.62357048195351406</v>
      </c>
      <c r="S34" s="87">
        <f>S14/S$11</f>
        <v>0.59822415523266215</v>
      </c>
      <c r="T34" s="87">
        <f>T14/T$11</f>
        <v>0.57295260359926725</v>
      </c>
      <c r="U34" s="87">
        <f>U14/U$11</f>
        <v>0.54776334033962804</v>
      </c>
      <c r="V34" s="87">
        <f>V14/V$11</f>
        <v>0.49993986782547695</v>
      </c>
      <c r="W34" s="87">
        <f>W14/W$11</f>
        <v>0.45242218842917231</v>
      </c>
    </row>
    <row r="35" spans="3:23" outlineLevel="1" x14ac:dyDescent="0.2">
      <c r="C35" s="1" t="s">
        <v>691</v>
      </c>
      <c r="H35" s="334">
        <f>H17/H11</f>
        <v>0</v>
      </c>
      <c r="M35" s="87">
        <f>M17/M11</f>
        <v>7.2492107519082083E-2</v>
      </c>
      <c r="N35" s="87">
        <f>N17/N11</f>
        <v>0.14525388089632738</v>
      </c>
      <c r="O35" s="87">
        <f>O17/O11</f>
        <v>0.19026437106938951</v>
      </c>
      <c r="P35" s="87">
        <f>P17/P11</f>
        <v>0.2324758679249011</v>
      </c>
      <c r="Q35" s="87">
        <f>Q17/Q11</f>
        <v>0.27809483490612635</v>
      </c>
      <c r="R35" s="87">
        <f>R17/R11</f>
        <v>0.30023763945909937</v>
      </c>
      <c r="S35" s="87">
        <f>S17/S11</f>
        <v>0.32212069897143358</v>
      </c>
      <c r="T35" s="87">
        <f>T17/T11</f>
        <v>0.34377156215956045</v>
      </c>
      <c r="U35" s="87">
        <f>U17/U11</f>
        <v>0.36517556022641878</v>
      </c>
      <c r="V35" s="87">
        <f>V17/V11</f>
        <v>0.40904171003902673</v>
      </c>
      <c r="W35" s="87">
        <f>W17/W11</f>
        <v>0.45242218842917253</v>
      </c>
    </row>
    <row r="36" spans="3:23" outlineLevel="1" x14ac:dyDescent="0.2">
      <c r="C36" s="1" t="s">
        <v>692</v>
      </c>
      <c r="H36" s="334">
        <f>H23/H$11</f>
        <v>0</v>
      </c>
      <c r="I36" s="87"/>
      <c r="J36" s="87"/>
      <c r="K36" s="87"/>
      <c r="L36" s="87"/>
      <c r="M36" s="87">
        <f>M23/M$11</f>
        <v>2.0250086549399103E-2</v>
      </c>
      <c r="N36" s="87">
        <f>N23/N$11</f>
        <v>1.9161372218786245E-2</v>
      </c>
      <c r="O36" s="87">
        <f>O23/O$11</f>
        <v>2.9479034182748068E-2</v>
      </c>
      <c r="P36" s="87">
        <f>P23/P$11</f>
        <v>4.2449809223157213E-2</v>
      </c>
      <c r="Q36" s="87">
        <f>Q23/Q$11</f>
        <v>4.4218551274122102E-2</v>
      </c>
      <c r="R36" s="87">
        <f>R23/R$11</f>
        <v>4.6141096981692629E-2</v>
      </c>
      <c r="S36" s="87">
        <f>S23/S$11</f>
        <v>4.823841957176956E-2</v>
      </c>
      <c r="T36" s="87">
        <f>T23/T$11</f>
        <v>5.0431075006849985E-2</v>
      </c>
      <c r="U36" s="87">
        <f>U23/U$11</f>
        <v>5.2723396598070425E-2</v>
      </c>
      <c r="V36" s="87">
        <f>V23/V$11</f>
        <v>5.5119914625255437E-2</v>
      </c>
      <c r="W36" s="87">
        <f>W23/W$11</f>
        <v>5.7625365290039775E-2</v>
      </c>
    </row>
    <row r="37" spans="3:23" outlineLevel="1" x14ac:dyDescent="0.2">
      <c r="C37" s="1" t="s">
        <v>693</v>
      </c>
      <c r="H37" s="334">
        <f>H26/H$11</f>
        <v>0</v>
      </c>
      <c r="I37" s="87"/>
      <c r="J37" s="87"/>
      <c r="K37" s="87"/>
      <c r="L37" s="87"/>
      <c r="M37" s="87">
        <f>M26/M$11</f>
        <v>1.3188479862839811E-2</v>
      </c>
      <c r="N37" s="87">
        <f>N26/N$11</f>
        <v>1.2479421805697884E-2</v>
      </c>
      <c r="O37" s="87">
        <f>O26/O$11</f>
        <v>1.9199110470304436E-2</v>
      </c>
      <c r="P37" s="87">
        <f>P26/P$11</f>
        <v>2.7646719077238386E-2</v>
      </c>
      <c r="Q37" s="87">
        <f>Q26/Q$11</f>
        <v>2.8798665705456656E-2</v>
      </c>
      <c r="R37" s="87">
        <f>R26/R$11</f>
        <v>3.00507816056939E-2</v>
      </c>
      <c r="S37" s="87">
        <f>S26/S$11</f>
        <v>3.1416726224134529E-2</v>
      </c>
      <c r="T37" s="87">
        <f>T26/T$11</f>
        <v>3.2844759234322458E-2</v>
      </c>
      <c r="U37" s="87">
        <f>U26/U$11</f>
        <v>3.4337702835882562E-2</v>
      </c>
      <c r="V37" s="87">
        <f>V26/V$11</f>
        <v>3.5898507510240853E-2</v>
      </c>
      <c r="W37" s="87">
        <f>W26/W$11</f>
        <v>3.7530257851615428E-2</v>
      </c>
    </row>
    <row r="38" spans="3:23" outlineLevel="1" x14ac:dyDescent="0.2"/>
    <row r="39" spans="3:23" outlineLevel="1" x14ac:dyDescent="0.2"/>
    <row r="40" spans="3:23" outlineLevel="1" x14ac:dyDescent="0.2"/>
    <row r="41" spans="3:23" ht="15" x14ac:dyDescent="0.25">
      <c r="C41" s="6" t="s">
        <v>682</v>
      </c>
      <c r="D41" s="6"/>
      <c r="E41" s="6"/>
      <c r="F41" s="6"/>
      <c r="G41" s="6"/>
      <c r="H41" s="22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3:23" ht="3" customHeight="1" x14ac:dyDescent="0.2"/>
    <row r="43" spans="3:23" ht="3.75" customHeight="1" x14ac:dyDescent="0.2"/>
    <row r="44" spans="3:23" ht="15" customHeight="1" x14ac:dyDescent="0.25">
      <c r="C44" s="527" t="s">
        <v>706</v>
      </c>
      <c r="D44" s="527"/>
      <c r="E44" s="527"/>
      <c r="F44" s="527"/>
      <c r="G44" s="527"/>
      <c r="H44" s="545"/>
      <c r="I44" s="527"/>
      <c r="J44" s="527"/>
      <c r="K44" s="527"/>
      <c r="L44" s="527"/>
      <c r="M44" s="527"/>
      <c r="N44" s="527"/>
      <c r="O44" s="527"/>
      <c r="P44" s="527"/>
      <c r="Q44" s="527"/>
      <c r="R44" s="527"/>
      <c r="S44" s="527"/>
      <c r="T44" s="527"/>
      <c r="U44" s="527"/>
      <c r="V44" s="527"/>
      <c r="W44" s="527"/>
    </row>
    <row r="45" spans="3:23" ht="15" x14ac:dyDescent="0.25">
      <c r="C45" s="73" t="s">
        <v>681</v>
      </c>
      <c r="D45" s="73"/>
      <c r="E45" s="73"/>
      <c r="F45" s="73"/>
      <c r="G45" s="73"/>
      <c r="H45" s="551">
        <v>17</v>
      </c>
      <c r="I45" s="531"/>
      <c r="J45" s="531"/>
      <c r="K45" s="531"/>
      <c r="L45" s="531"/>
      <c r="M45" s="532">
        <f>H45*(1+M46)</f>
        <v>18.695584187791368</v>
      </c>
      <c r="N45" s="532">
        <f>M45*(1+N46)</f>
        <v>20.56028636016439</v>
      </c>
      <c r="O45" s="532">
        <f t="shared" ref="O45:U45" si="42">N45*(1+O46)</f>
        <v>22.610974386561878</v>
      </c>
      <c r="P45" s="532">
        <f t="shared" si="42"/>
        <v>24.866198541880109</v>
      </c>
      <c r="Q45" s="532">
        <f t="shared" si="42"/>
        <v>27.346359310003209</v>
      </c>
      <c r="R45" s="532">
        <f t="shared" si="42"/>
        <v>30.073891924103368</v>
      </c>
      <c r="S45" s="532">
        <f t="shared" si="42"/>
        <v>33.073469313036085</v>
      </c>
      <c r="T45" s="532">
        <f t="shared" si="42"/>
        <v>36.37222528965885</v>
      </c>
      <c r="U45" s="532">
        <f t="shared" si="42"/>
        <v>40.000000000007724</v>
      </c>
      <c r="V45" s="532">
        <f t="shared" ref="V45" si="43">U45*(1+V46)</f>
        <v>43.989609853635244</v>
      </c>
      <c r="W45" s="532">
        <f t="shared" ref="W45" si="44">V45*(1+W46)</f>
        <v>48.377144376866731</v>
      </c>
    </row>
    <row r="46" spans="3:23" x14ac:dyDescent="0.2">
      <c r="C46" s="38" t="s">
        <v>551</v>
      </c>
      <c r="D46" s="38"/>
      <c r="E46" s="38"/>
      <c r="F46" s="38"/>
      <c r="G46" s="38"/>
      <c r="M46" s="35">
        <f>AE98</f>
        <v>9.9740246340668665E-2</v>
      </c>
      <c r="N46" s="35">
        <f>M46</f>
        <v>9.9740246340668665E-2</v>
      </c>
      <c r="O46" s="35">
        <f t="shared" ref="O46:W46" si="45">N46</f>
        <v>9.9740246340668665E-2</v>
      </c>
      <c r="P46" s="35">
        <f t="shared" si="45"/>
        <v>9.9740246340668665E-2</v>
      </c>
      <c r="Q46" s="35">
        <f t="shared" si="45"/>
        <v>9.9740246340668665E-2</v>
      </c>
      <c r="R46" s="35">
        <f t="shared" si="45"/>
        <v>9.9740246340668665E-2</v>
      </c>
      <c r="S46" s="35">
        <f t="shared" si="45"/>
        <v>9.9740246340668665E-2</v>
      </c>
      <c r="T46" s="35">
        <f t="shared" si="45"/>
        <v>9.9740246340668665E-2</v>
      </c>
      <c r="U46" s="35">
        <f t="shared" si="45"/>
        <v>9.9740246340668665E-2</v>
      </c>
      <c r="V46" s="35">
        <f t="shared" si="45"/>
        <v>9.9740246340668665E-2</v>
      </c>
      <c r="W46" s="35">
        <f t="shared" si="45"/>
        <v>9.9740246340668665E-2</v>
      </c>
    </row>
    <row r="47" spans="3:23" ht="3" customHeight="1" x14ac:dyDescent="0.2"/>
    <row r="48" spans="3:23" ht="15" x14ac:dyDescent="0.25">
      <c r="C48" s="73" t="s">
        <v>661</v>
      </c>
      <c r="D48" s="73"/>
      <c r="E48" s="73"/>
      <c r="F48" s="73"/>
      <c r="G48" s="73"/>
      <c r="H48" s="552">
        <f>H45*1000</f>
        <v>17000</v>
      </c>
      <c r="I48" s="532"/>
      <c r="J48" s="532"/>
      <c r="K48" s="532"/>
      <c r="L48" s="532"/>
      <c r="M48" s="532">
        <f t="shared" ref="M48:W48" si="46">M45*1000</f>
        <v>18695.58418779137</v>
      </c>
      <c r="N48" s="532">
        <f t="shared" si="46"/>
        <v>20560.286360164391</v>
      </c>
      <c r="O48" s="532">
        <f t="shared" si="46"/>
        <v>22610.974386561877</v>
      </c>
      <c r="P48" s="532">
        <f t="shared" si="46"/>
        <v>24866.198541880109</v>
      </c>
      <c r="Q48" s="532">
        <f t="shared" si="46"/>
        <v>27346.359310003209</v>
      </c>
      <c r="R48" s="532">
        <f t="shared" si="46"/>
        <v>30073.891924103369</v>
      </c>
      <c r="S48" s="532">
        <f t="shared" si="46"/>
        <v>33073.469313036083</v>
      </c>
      <c r="T48" s="532">
        <f t="shared" si="46"/>
        <v>36372.225289658847</v>
      </c>
      <c r="U48" s="532">
        <f t="shared" si="46"/>
        <v>40000.000000007727</v>
      </c>
      <c r="V48" s="532">
        <f t="shared" si="46"/>
        <v>43989.609853635244</v>
      </c>
      <c r="W48" s="532">
        <f t="shared" si="46"/>
        <v>48377.14437686673</v>
      </c>
    </row>
    <row r="49" spans="3:23" ht="3" customHeight="1" x14ac:dyDescent="0.2"/>
    <row r="50" spans="3:23" x14ac:dyDescent="0.2">
      <c r="C50" s="1" t="s">
        <v>687</v>
      </c>
      <c r="H50" s="553">
        <f>(1.5+2)/100</f>
        <v>3.5000000000000003E-2</v>
      </c>
      <c r="I50" s="533"/>
      <c r="J50" s="533"/>
      <c r="K50" s="533"/>
      <c r="L50" s="533"/>
      <c r="M50" s="533">
        <f>H50</f>
        <v>3.5000000000000003E-2</v>
      </c>
      <c r="N50" s="533">
        <f>M50</f>
        <v>3.5000000000000003E-2</v>
      </c>
      <c r="O50" s="533">
        <f t="shared" ref="O50:W50" si="47">N50</f>
        <v>3.5000000000000003E-2</v>
      </c>
      <c r="P50" s="533">
        <f t="shared" si="47"/>
        <v>3.5000000000000003E-2</v>
      </c>
      <c r="Q50" s="533">
        <f t="shared" si="47"/>
        <v>3.5000000000000003E-2</v>
      </c>
      <c r="R50" s="533">
        <f t="shared" si="47"/>
        <v>3.5000000000000003E-2</v>
      </c>
      <c r="S50" s="533">
        <f t="shared" si="47"/>
        <v>3.5000000000000003E-2</v>
      </c>
      <c r="T50" s="533">
        <f t="shared" si="47"/>
        <v>3.5000000000000003E-2</v>
      </c>
      <c r="U50" s="533">
        <f t="shared" si="47"/>
        <v>3.5000000000000003E-2</v>
      </c>
      <c r="V50" s="533">
        <f t="shared" si="47"/>
        <v>3.5000000000000003E-2</v>
      </c>
      <c r="W50" s="533">
        <f t="shared" si="47"/>
        <v>3.5000000000000003E-2</v>
      </c>
    </row>
    <row r="51" spans="3:23" ht="15" x14ac:dyDescent="0.25">
      <c r="C51" s="181" t="s">
        <v>675</v>
      </c>
      <c r="D51" s="181"/>
      <c r="E51" s="181"/>
      <c r="F51" s="181"/>
      <c r="G51" s="181"/>
      <c r="H51" s="554">
        <f>H50*H48</f>
        <v>595</v>
      </c>
      <c r="I51" s="534"/>
      <c r="J51" s="534"/>
      <c r="K51" s="534"/>
      <c r="L51" s="534"/>
      <c r="M51" s="534">
        <f t="shared" ref="M51:W51" si="48">M50*M48</f>
        <v>654.34544657269805</v>
      </c>
      <c r="N51" s="534">
        <f t="shared" si="48"/>
        <v>719.61002260575378</v>
      </c>
      <c r="O51" s="534">
        <f t="shared" si="48"/>
        <v>791.38410352966571</v>
      </c>
      <c r="P51" s="534">
        <f t="shared" si="48"/>
        <v>870.31694896580393</v>
      </c>
      <c r="Q51" s="534">
        <f t="shared" si="48"/>
        <v>957.12257585011241</v>
      </c>
      <c r="R51" s="534">
        <f t="shared" si="48"/>
        <v>1052.586217343618</v>
      </c>
      <c r="S51" s="534">
        <f t="shared" si="48"/>
        <v>1157.5714259562631</v>
      </c>
      <c r="T51" s="534">
        <f t="shared" si="48"/>
        <v>1273.0278851380597</v>
      </c>
      <c r="U51" s="534">
        <f t="shared" si="48"/>
        <v>1400.0000000002706</v>
      </c>
      <c r="V51" s="534">
        <f t="shared" si="48"/>
        <v>1539.6363448772336</v>
      </c>
      <c r="W51" s="534">
        <f t="shared" si="48"/>
        <v>1693.2000531903357</v>
      </c>
    </row>
    <row r="52" spans="3:23" ht="3" customHeight="1" x14ac:dyDescent="0.2"/>
    <row r="53" spans="3:23" x14ac:dyDescent="0.2">
      <c r="C53" s="535" t="s">
        <v>683</v>
      </c>
      <c r="D53" s="536"/>
      <c r="E53" s="536"/>
      <c r="F53" s="536"/>
      <c r="G53" s="536"/>
      <c r="H53" s="543">
        <f>H14</f>
        <v>213.21199999999999</v>
      </c>
      <c r="I53" s="542"/>
      <c r="J53" s="542"/>
      <c r="K53" s="542"/>
      <c r="L53" s="542"/>
      <c r="M53" s="542">
        <f>M14</f>
        <v>271.16675624999999</v>
      </c>
      <c r="N53" s="542">
        <f>N14</f>
        <v>386.94778083333335</v>
      </c>
      <c r="O53" s="542">
        <f>O14</f>
        <v>465.11223333333339</v>
      </c>
      <c r="P53" s="542">
        <f>P14</f>
        <v>532.78188093750009</v>
      </c>
      <c r="Q53" s="542">
        <f>Q14</f>
        <v>594.84151125000005</v>
      </c>
      <c r="R53" s="542">
        <f>R14</f>
        <v>657.37767248437501</v>
      </c>
      <c r="S53" s="542">
        <f>S14</f>
        <v>693.7228999593749</v>
      </c>
      <c r="T53" s="542">
        <f>T14</f>
        <v>730.85877936328143</v>
      </c>
      <c r="U53" s="542">
        <f>U14</f>
        <v>768.60006947212503</v>
      </c>
      <c r="V53" s="542">
        <f>V14</f>
        <v>771.64565009905334</v>
      </c>
      <c r="W53" s="543">
        <f>W14</f>
        <v>768.1335292401377</v>
      </c>
    </row>
    <row r="54" spans="3:23" x14ac:dyDescent="0.2">
      <c r="C54" s="537" t="s">
        <v>677</v>
      </c>
      <c r="D54" s="538"/>
      <c r="E54" s="538"/>
      <c r="F54" s="538"/>
      <c r="G54" s="538"/>
      <c r="H54" s="540">
        <f>H53/H51</f>
        <v>0.35833949579831931</v>
      </c>
      <c r="I54" s="539"/>
      <c r="J54" s="539"/>
      <c r="K54" s="539"/>
      <c r="L54" s="539"/>
      <c r="M54" s="539">
        <f>M53/M51</f>
        <v>0.41440917434407981</v>
      </c>
      <c r="N54" s="539">
        <f>N53/N51</f>
        <v>0.53771872080404159</v>
      </c>
      <c r="O54" s="539">
        <f>O53/O51</f>
        <v>0.58771995957320644</v>
      </c>
      <c r="P54" s="539">
        <f>P53/P51</f>
        <v>0.61216994747787445</v>
      </c>
      <c r="Q54" s="539">
        <f>Q53/Q51</f>
        <v>0.6214893747769602</v>
      </c>
      <c r="R54" s="539">
        <f>R53/R51</f>
        <v>0.62453570230415933</v>
      </c>
      <c r="S54" s="539">
        <f>S53/S51</f>
        <v>0.59929165872964985</v>
      </c>
      <c r="T54" s="539">
        <f>T53/T51</f>
        <v>0.57411058146932881</v>
      </c>
      <c r="U54" s="539">
        <f>U53/U51</f>
        <v>0.54900004962284032</v>
      </c>
      <c r="V54" s="539">
        <f>V53/V51</f>
        <v>0.50118695409244984</v>
      </c>
      <c r="W54" s="540">
        <f>W53/W51</f>
        <v>0.45365786977907119</v>
      </c>
    </row>
    <row r="55" spans="3:23" ht="3" customHeight="1" x14ac:dyDescent="0.2"/>
    <row r="57" spans="3:23" ht="15" customHeight="1" x14ac:dyDescent="0.25">
      <c r="C57" s="527" t="s">
        <v>705</v>
      </c>
      <c r="D57" s="527"/>
      <c r="E57" s="527"/>
      <c r="F57" s="527"/>
      <c r="G57" s="527"/>
      <c r="H57" s="545"/>
      <c r="I57" s="527"/>
      <c r="J57" s="527"/>
      <c r="K57" s="527"/>
      <c r="L57" s="527"/>
      <c r="M57" s="527"/>
      <c r="N57" s="527"/>
      <c r="O57" s="527"/>
      <c r="P57" s="527"/>
      <c r="Q57" s="527"/>
      <c r="R57" s="527"/>
      <c r="S57" s="527"/>
      <c r="T57" s="527"/>
      <c r="U57" s="527"/>
      <c r="V57" s="527"/>
      <c r="W57" s="527"/>
    </row>
    <row r="58" spans="3:23" x14ac:dyDescent="0.2">
      <c r="C58" s="1" t="s">
        <v>672</v>
      </c>
      <c r="H58" s="555">
        <f>(1/4)</f>
        <v>0.25</v>
      </c>
      <c r="I58" s="18"/>
      <c r="J58" s="18"/>
      <c r="K58" s="18"/>
      <c r="L58" s="18"/>
      <c r="M58" s="32">
        <f>H58</f>
        <v>0.25</v>
      </c>
      <c r="N58" s="32">
        <f>M58</f>
        <v>0.25</v>
      </c>
      <c r="O58" s="32">
        <f t="shared" ref="O58:W58" si="49">N58</f>
        <v>0.25</v>
      </c>
      <c r="P58" s="32">
        <f t="shared" si="49"/>
        <v>0.25</v>
      </c>
      <c r="Q58" s="32">
        <f t="shared" si="49"/>
        <v>0.25</v>
      </c>
      <c r="R58" s="32">
        <f t="shared" si="49"/>
        <v>0.25</v>
      </c>
      <c r="S58" s="32">
        <f t="shared" si="49"/>
        <v>0.25</v>
      </c>
      <c r="T58" s="32">
        <f t="shared" si="49"/>
        <v>0.25</v>
      </c>
      <c r="U58" s="32">
        <f t="shared" si="49"/>
        <v>0.25</v>
      </c>
      <c r="V58" s="32">
        <f t="shared" si="49"/>
        <v>0.25</v>
      </c>
      <c r="W58" s="32">
        <f t="shared" si="49"/>
        <v>0.25</v>
      </c>
    </row>
    <row r="59" spans="3:23" ht="3" customHeight="1" x14ac:dyDescent="0.2"/>
    <row r="60" spans="3:23" ht="15" x14ac:dyDescent="0.25">
      <c r="C60" s="73" t="s">
        <v>673</v>
      </c>
      <c r="D60" s="73"/>
      <c r="E60" s="73"/>
      <c r="F60" s="73"/>
      <c r="G60" s="73"/>
      <c r="H60" s="552">
        <f>H58*H45</f>
        <v>4.25</v>
      </c>
      <c r="I60" s="532">
        <f>I58*I45</f>
        <v>0</v>
      </c>
      <c r="J60" s="532">
        <f>J58*J45</f>
        <v>0</v>
      </c>
      <c r="K60" s="532">
        <f>K58*K45</f>
        <v>0</v>
      </c>
      <c r="L60" s="532">
        <f>L58*L45</f>
        <v>0</v>
      </c>
      <c r="M60" s="532">
        <f>M58*M45</f>
        <v>4.6738960469478421</v>
      </c>
      <c r="N60" s="532">
        <f>N58*N45</f>
        <v>5.1400715900410976</v>
      </c>
      <c r="O60" s="532">
        <f>O58*O45</f>
        <v>5.6527435966404695</v>
      </c>
      <c r="P60" s="532">
        <f>P58*P45</f>
        <v>6.2165496354700274</v>
      </c>
      <c r="Q60" s="532">
        <f>Q58*Q45</f>
        <v>6.8365898275008021</v>
      </c>
      <c r="R60" s="532">
        <f>R58*R45</f>
        <v>7.5184729810258419</v>
      </c>
      <c r="S60" s="532">
        <f>S58*S45</f>
        <v>8.2683673282590213</v>
      </c>
      <c r="T60" s="532">
        <f>T58*T45</f>
        <v>9.0930563224147125</v>
      </c>
      <c r="U60" s="532">
        <f>U58*U45</f>
        <v>10.000000000001931</v>
      </c>
      <c r="V60" s="532">
        <f>V58*V45</f>
        <v>10.997402463408811</v>
      </c>
      <c r="W60" s="532">
        <f>W58*W45</f>
        <v>12.094286094216683</v>
      </c>
    </row>
    <row r="61" spans="3:23" ht="3" customHeight="1" x14ac:dyDescent="0.25">
      <c r="H61" s="552"/>
      <c r="I61" s="532"/>
      <c r="J61" s="532"/>
      <c r="K61" s="532"/>
      <c r="L61" s="532"/>
      <c r="M61" s="532"/>
      <c r="N61" s="532"/>
      <c r="O61" s="532"/>
      <c r="P61" s="532"/>
      <c r="Q61" s="532"/>
      <c r="R61" s="532"/>
      <c r="S61" s="532"/>
      <c r="T61" s="532"/>
      <c r="U61" s="532"/>
      <c r="V61" s="532"/>
      <c r="W61" s="532"/>
    </row>
    <row r="62" spans="3:23" ht="15" x14ac:dyDescent="0.25">
      <c r="C62" s="1" t="s">
        <v>674</v>
      </c>
      <c r="H62" s="552">
        <f>H60*1000</f>
        <v>4250</v>
      </c>
      <c r="I62" s="532">
        <f t="shared" ref="I62:W62" si="50">I60*1000</f>
        <v>0</v>
      </c>
      <c r="J62" s="532">
        <f t="shared" si="50"/>
        <v>0</v>
      </c>
      <c r="K62" s="532">
        <f t="shared" si="50"/>
        <v>0</v>
      </c>
      <c r="L62" s="532">
        <f t="shared" si="50"/>
        <v>0</v>
      </c>
      <c r="M62" s="532">
        <f t="shared" si="50"/>
        <v>4673.8960469478425</v>
      </c>
      <c r="N62" s="532">
        <f t="shared" si="50"/>
        <v>5140.0715900410978</v>
      </c>
      <c r="O62" s="532">
        <f t="shared" si="50"/>
        <v>5652.7435966404691</v>
      </c>
      <c r="P62" s="532">
        <f t="shared" si="50"/>
        <v>6216.5496354700272</v>
      </c>
      <c r="Q62" s="532">
        <f t="shared" si="50"/>
        <v>6836.5898275008021</v>
      </c>
      <c r="R62" s="532">
        <f t="shared" si="50"/>
        <v>7518.4729810258423</v>
      </c>
      <c r="S62" s="532">
        <f t="shared" si="50"/>
        <v>8268.3673282590207</v>
      </c>
      <c r="T62" s="532">
        <f t="shared" si="50"/>
        <v>9093.0563224147118</v>
      </c>
      <c r="U62" s="532">
        <f t="shared" si="50"/>
        <v>10000.000000001932</v>
      </c>
      <c r="V62" s="532">
        <f t="shared" si="50"/>
        <v>10997.402463408811</v>
      </c>
      <c r="W62" s="532">
        <f t="shared" si="50"/>
        <v>12094.286094216683</v>
      </c>
    </row>
    <row r="63" spans="3:23" ht="3" customHeight="1" x14ac:dyDescent="0.2"/>
    <row r="64" spans="3:23" x14ac:dyDescent="0.2">
      <c r="C64" s="1" t="s">
        <v>686</v>
      </c>
      <c r="H64" s="553">
        <f>0.088-0.056</f>
        <v>3.1999999999999994E-2</v>
      </c>
      <c r="I64" s="533">
        <f t="shared" ref="I64:L64" si="51">0.088-0.056</f>
        <v>3.1999999999999994E-2</v>
      </c>
      <c r="J64" s="533">
        <f t="shared" si="51"/>
        <v>3.1999999999999994E-2</v>
      </c>
      <c r="K64" s="533">
        <f t="shared" si="51"/>
        <v>3.1999999999999994E-2</v>
      </c>
      <c r="L64" s="533">
        <f t="shared" si="51"/>
        <v>3.1999999999999994E-2</v>
      </c>
      <c r="M64" s="533">
        <f>$H$64</f>
        <v>3.1999999999999994E-2</v>
      </c>
      <c r="N64" s="533">
        <f t="shared" ref="N64:W64" si="52">$H$64</f>
        <v>3.1999999999999994E-2</v>
      </c>
      <c r="O64" s="533">
        <f t="shared" si="52"/>
        <v>3.1999999999999994E-2</v>
      </c>
      <c r="P64" s="533">
        <f t="shared" si="52"/>
        <v>3.1999999999999994E-2</v>
      </c>
      <c r="Q64" s="533">
        <f t="shared" si="52"/>
        <v>3.1999999999999994E-2</v>
      </c>
      <c r="R64" s="533">
        <f t="shared" si="52"/>
        <v>3.1999999999999994E-2</v>
      </c>
      <c r="S64" s="533">
        <f t="shared" si="52"/>
        <v>3.1999999999999994E-2</v>
      </c>
      <c r="T64" s="533">
        <f t="shared" si="52"/>
        <v>3.1999999999999994E-2</v>
      </c>
      <c r="U64" s="533">
        <f t="shared" si="52"/>
        <v>3.1999999999999994E-2</v>
      </c>
      <c r="V64" s="533">
        <f t="shared" si="52"/>
        <v>3.1999999999999994E-2</v>
      </c>
      <c r="W64" s="533">
        <f t="shared" si="52"/>
        <v>3.1999999999999994E-2</v>
      </c>
    </row>
    <row r="65" spans="3:25" ht="3" customHeight="1" x14ac:dyDescent="0.2"/>
    <row r="66" spans="3:25" ht="15" x14ac:dyDescent="0.25">
      <c r="C66" s="1" t="s">
        <v>676</v>
      </c>
      <c r="H66" s="554">
        <f>H64*H62</f>
        <v>135.99999999999997</v>
      </c>
      <c r="I66" s="534">
        <f t="shared" ref="I66:W66" si="53">I64*I62</f>
        <v>0</v>
      </c>
      <c r="J66" s="534">
        <f t="shared" si="53"/>
        <v>0</v>
      </c>
      <c r="K66" s="534">
        <f t="shared" si="53"/>
        <v>0</v>
      </c>
      <c r="L66" s="534">
        <f t="shared" si="53"/>
        <v>0</v>
      </c>
      <c r="M66" s="534">
        <f t="shared" si="53"/>
        <v>149.56467350233092</v>
      </c>
      <c r="N66" s="534">
        <f t="shared" si="53"/>
        <v>164.48229088131509</v>
      </c>
      <c r="O66" s="534">
        <f t="shared" si="53"/>
        <v>180.88779509249497</v>
      </c>
      <c r="P66" s="534">
        <f t="shared" si="53"/>
        <v>198.92958833504082</v>
      </c>
      <c r="Q66" s="534">
        <f t="shared" si="53"/>
        <v>218.77087448002561</v>
      </c>
      <c r="R66" s="534">
        <f t="shared" si="53"/>
        <v>240.59113539282691</v>
      </c>
      <c r="S66" s="534">
        <f t="shared" si="53"/>
        <v>264.58775450428863</v>
      </c>
      <c r="T66" s="534">
        <f t="shared" si="53"/>
        <v>290.97780231727074</v>
      </c>
      <c r="U66" s="534">
        <f t="shared" si="53"/>
        <v>320.00000000006173</v>
      </c>
      <c r="V66" s="534">
        <f t="shared" si="53"/>
        <v>351.9168788290819</v>
      </c>
      <c r="W66" s="534">
        <f t="shared" si="53"/>
        <v>387.01715501493379</v>
      </c>
    </row>
    <row r="67" spans="3:25" ht="3" customHeight="1" x14ac:dyDescent="0.2"/>
    <row r="68" spans="3:25" x14ac:dyDescent="0.2">
      <c r="C68" s="535" t="s">
        <v>684</v>
      </c>
      <c r="D68" s="536"/>
      <c r="E68" s="536"/>
      <c r="F68" s="536"/>
      <c r="G68" s="536"/>
      <c r="H68" s="543">
        <f>H23</f>
        <v>0</v>
      </c>
      <c r="I68" s="542">
        <f>I23</f>
        <v>0</v>
      </c>
      <c r="J68" s="542">
        <f>J23</f>
        <v>2.04725</v>
      </c>
      <c r="K68" s="542">
        <f>K23</f>
        <v>2.04725</v>
      </c>
      <c r="L68" s="542">
        <f>L23</f>
        <v>2.04725</v>
      </c>
      <c r="M68" s="542">
        <f>M23</f>
        <v>6.14175</v>
      </c>
      <c r="N68" s="542">
        <f>N23</f>
        <v>9.0079000000000011</v>
      </c>
      <c r="O68" s="542">
        <f>O23</f>
        <v>18.015800000000002</v>
      </c>
      <c r="P68" s="542">
        <f>P23</f>
        <v>32.428440000000002</v>
      </c>
      <c r="Q68" s="542">
        <f>Q23</f>
        <v>40.535550000000001</v>
      </c>
      <c r="R68" s="542">
        <f>R23</f>
        <v>48.642659999999999</v>
      </c>
      <c r="S68" s="542">
        <f>S23</f>
        <v>55.939058999999993</v>
      </c>
      <c r="T68" s="542">
        <f>T23</f>
        <v>64.329917849999987</v>
      </c>
      <c r="U68" s="542">
        <f>U23</f>
        <v>73.979405527499978</v>
      </c>
      <c r="V68" s="542">
        <f>V23</f>
        <v>85.076316356624972</v>
      </c>
      <c r="W68" s="543">
        <f>W23</f>
        <v>97.837763810118716</v>
      </c>
    </row>
    <row r="69" spans="3:25" x14ac:dyDescent="0.2">
      <c r="C69" s="537" t="s">
        <v>677</v>
      </c>
      <c r="D69" s="538"/>
      <c r="E69" s="538"/>
      <c r="F69" s="538"/>
      <c r="G69" s="538"/>
      <c r="H69" s="540">
        <f>H68/H66</f>
        <v>0</v>
      </c>
      <c r="I69" s="539" t="e">
        <f>I68/I66</f>
        <v>#DIV/0!</v>
      </c>
      <c r="J69" s="539" t="e">
        <f>J68/J66</f>
        <v>#DIV/0!</v>
      </c>
      <c r="K69" s="539" t="e">
        <f>K68/K66</f>
        <v>#DIV/0!</v>
      </c>
      <c r="L69" s="539" t="e">
        <f>L68/L66</f>
        <v>#DIV/0!</v>
      </c>
      <c r="M69" s="539">
        <f>M68/M66</f>
        <v>4.1064175491308669E-2</v>
      </c>
      <c r="N69" s="539">
        <f>N68/N66</f>
        <v>5.4765166217801524E-2</v>
      </c>
      <c r="O69" s="539">
        <f>O68/O66</f>
        <v>9.9596548184955336E-2</v>
      </c>
      <c r="P69" s="539">
        <f>P68/P66</f>
        <v>0.16301466398946865</v>
      </c>
      <c r="Q69" s="539">
        <f>Q68/Q66</f>
        <v>0.18528769012943269</v>
      </c>
      <c r="R69" s="539">
        <f>R68/R66</f>
        <v>0.20217976826360765</v>
      </c>
      <c r="S69" s="539">
        <f>S68/S66</f>
        <v>0.21141968230843916</v>
      </c>
      <c r="T69" s="539">
        <f>T68/T66</f>
        <v>0.22108187407318849</v>
      </c>
      <c r="U69" s="539">
        <f>U68/U66</f>
        <v>0.23118564227339283</v>
      </c>
      <c r="V69" s="539">
        <f>V68/V66</f>
        <v>0.24175116760439508</v>
      </c>
      <c r="W69" s="540">
        <f>W68/W66</f>
        <v>0.25279955304912377</v>
      </c>
    </row>
    <row r="70" spans="3:25" ht="3" customHeight="1" x14ac:dyDescent="0.2"/>
    <row r="72" spans="3:25" ht="15" customHeight="1" x14ac:dyDescent="0.25">
      <c r="C72" s="527" t="s">
        <v>707</v>
      </c>
      <c r="D72" s="527"/>
      <c r="E72" s="527"/>
      <c r="F72" s="527"/>
      <c r="G72" s="527"/>
      <c r="H72" s="545"/>
      <c r="I72" s="527"/>
      <c r="J72" s="527"/>
      <c r="K72" s="527"/>
      <c r="L72" s="527"/>
      <c r="M72" s="527"/>
      <c r="N72" s="527"/>
      <c r="O72" s="527"/>
      <c r="P72" s="527"/>
      <c r="Q72" s="527"/>
      <c r="R72" s="527"/>
      <c r="S72" s="527"/>
      <c r="T72" s="527"/>
      <c r="U72" s="527"/>
      <c r="V72" s="527"/>
      <c r="W72" s="527"/>
    </row>
    <row r="73" spans="3:25" x14ac:dyDescent="0.2">
      <c r="C73" s="1" t="s">
        <v>678</v>
      </c>
      <c r="H73" s="556">
        <v>192.554</v>
      </c>
      <c r="I73" s="388"/>
      <c r="J73" s="388"/>
      <c r="K73" s="388"/>
      <c r="L73" s="388"/>
      <c r="M73" s="388">
        <f>H73*(1+M74)</f>
        <v>282.58012908769439</v>
      </c>
      <c r="N73" s="388">
        <f>M73*(1+N74)</f>
        <v>414.6968089741996</v>
      </c>
      <c r="O73" s="388">
        <f>N73*(1+O74)</f>
        <v>608.58293160455912</v>
      </c>
      <c r="P73" s="541">
        <v>893.11800000000005</v>
      </c>
      <c r="Q73" s="388">
        <f>P73*(1+Q74)</f>
        <v>1161.0534</v>
      </c>
      <c r="R73" s="388">
        <f t="shared" ref="R73:W73" si="54">Q73*(1+R74)</f>
        <v>1393.2640799999999</v>
      </c>
      <c r="S73" s="388">
        <f t="shared" si="54"/>
        <v>1671.916896</v>
      </c>
      <c r="T73" s="388">
        <f t="shared" si="54"/>
        <v>2006.3002751999998</v>
      </c>
      <c r="U73" s="388">
        <f t="shared" si="54"/>
        <v>2407.5603302399995</v>
      </c>
      <c r="V73" s="388">
        <f t="shared" si="54"/>
        <v>2648.3163632639998</v>
      </c>
      <c r="W73" s="388">
        <f t="shared" si="54"/>
        <v>2780.7321814272</v>
      </c>
      <c r="Y73" s="33">
        <f>RATE(11,,-H73,W73)</f>
        <v>0.27473169266656622</v>
      </c>
    </row>
    <row r="74" spans="3:25" x14ac:dyDescent="0.2">
      <c r="C74" s="38" t="s">
        <v>551</v>
      </c>
      <c r="M74" s="172">
        <f>N74</f>
        <v>0.46753704980262367</v>
      </c>
      <c r="N74" s="172">
        <f>O74</f>
        <v>0.46753704980262367</v>
      </c>
      <c r="O74" s="172">
        <f>P74</f>
        <v>0.46753704980262367</v>
      </c>
      <c r="P74" s="172">
        <f>RATE(4,,-H73,P73)</f>
        <v>0.46753704980262367</v>
      </c>
      <c r="Q74" s="32">
        <v>0.3</v>
      </c>
      <c r="R74" s="33">
        <v>0.2</v>
      </c>
      <c r="S74" s="33">
        <v>0.2</v>
      </c>
      <c r="T74" s="33">
        <v>0.2</v>
      </c>
      <c r="U74" s="33">
        <f t="shared" ref="U74" si="55">T74</f>
        <v>0.2</v>
      </c>
      <c r="V74" s="33">
        <v>0.1</v>
      </c>
      <c r="W74" s="33">
        <v>0.05</v>
      </c>
    </row>
    <row r="75" spans="3:25" ht="3" customHeight="1" x14ac:dyDescent="0.2"/>
    <row r="76" spans="3:25" x14ac:dyDescent="0.2">
      <c r="C76" s="1" t="s">
        <v>679</v>
      </c>
      <c r="M76" s="388">
        <f>M73-H73</f>
        <v>90.026129087694386</v>
      </c>
      <c r="N76" s="388">
        <f>N73-M73</f>
        <v>132.11667988650521</v>
      </c>
      <c r="O76" s="388">
        <f t="shared" ref="O76:W76" si="56">O73-N73</f>
        <v>193.88612263035952</v>
      </c>
      <c r="P76" s="388">
        <f t="shared" si="56"/>
        <v>284.53506839544093</v>
      </c>
      <c r="Q76" s="388">
        <f t="shared" si="56"/>
        <v>267.93539999999996</v>
      </c>
      <c r="R76" s="388">
        <f t="shared" si="56"/>
        <v>232.21067999999991</v>
      </c>
      <c r="S76" s="388">
        <f t="shared" si="56"/>
        <v>278.65281600000003</v>
      </c>
      <c r="T76" s="388">
        <f t="shared" si="56"/>
        <v>334.38337919999981</v>
      </c>
      <c r="U76" s="388">
        <f t="shared" si="56"/>
        <v>401.26005503999977</v>
      </c>
      <c r="V76" s="388">
        <f t="shared" si="56"/>
        <v>240.75603302400032</v>
      </c>
      <c r="W76" s="388">
        <f t="shared" si="56"/>
        <v>132.41581816320013</v>
      </c>
    </row>
    <row r="77" spans="3:25" ht="3" customHeight="1" x14ac:dyDescent="0.2"/>
    <row r="78" spans="3:25" x14ac:dyDescent="0.2">
      <c r="C78" s="1" t="s">
        <v>685</v>
      </c>
      <c r="M78" s="18">
        <v>5</v>
      </c>
      <c r="N78" s="18">
        <f>M78</f>
        <v>5</v>
      </c>
      <c r="O78" s="18">
        <f t="shared" ref="O78:W78" si="57">N78</f>
        <v>5</v>
      </c>
      <c r="P78" s="18">
        <f t="shared" si="57"/>
        <v>5</v>
      </c>
      <c r="Q78" s="18">
        <f t="shared" si="57"/>
        <v>5</v>
      </c>
      <c r="R78" s="18">
        <f t="shared" si="57"/>
        <v>5</v>
      </c>
      <c r="S78" s="18">
        <f t="shared" si="57"/>
        <v>5</v>
      </c>
      <c r="T78" s="18">
        <f t="shared" si="57"/>
        <v>5</v>
      </c>
      <c r="U78" s="18">
        <f t="shared" si="57"/>
        <v>5</v>
      </c>
      <c r="V78" s="18">
        <f t="shared" si="57"/>
        <v>5</v>
      </c>
      <c r="W78" s="18">
        <f t="shared" si="57"/>
        <v>5</v>
      </c>
    </row>
    <row r="79" spans="3:25" ht="3" customHeight="1" x14ac:dyDescent="0.2"/>
    <row r="80" spans="3:25" ht="15" x14ac:dyDescent="0.25">
      <c r="C80" s="1" t="s">
        <v>680</v>
      </c>
      <c r="H80" s="564">
        <v>300</v>
      </c>
      <c r="I80" s="534"/>
      <c r="J80" s="534"/>
      <c r="K80" s="534"/>
      <c r="L80" s="534"/>
      <c r="M80" s="534">
        <f>M76*M78</f>
        <v>450.1306454384719</v>
      </c>
      <c r="N80" s="534">
        <f t="shared" ref="N80:W80" si="58">N76*N78</f>
        <v>660.58339943252599</v>
      </c>
      <c r="O80" s="534">
        <f t="shared" si="58"/>
        <v>969.43061315179762</v>
      </c>
      <c r="P80" s="534">
        <f t="shared" si="58"/>
        <v>1422.6753419772047</v>
      </c>
      <c r="Q80" s="534">
        <f t="shared" si="58"/>
        <v>1339.6769999999997</v>
      </c>
      <c r="R80" s="534">
        <f t="shared" si="58"/>
        <v>1161.0533999999996</v>
      </c>
      <c r="S80" s="534">
        <f t="shared" si="58"/>
        <v>1393.2640800000001</v>
      </c>
      <c r="T80" s="534">
        <f t="shared" si="58"/>
        <v>1671.916895999999</v>
      </c>
      <c r="U80" s="534">
        <f t="shared" si="58"/>
        <v>2006.3002751999989</v>
      </c>
      <c r="V80" s="534">
        <f t="shared" si="58"/>
        <v>1203.7801651200016</v>
      </c>
      <c r="W80" s="534">
        <f t="shared" si="58"/>
        <v>662.07909081600064</v>
      </c>
    </row>
    <row r="81" spans="3:26" ht="3" customHeight="1" x14ac:dyDescent="0.2"/>
    <row r="82" spans="3:26" x14ac:dyDescent="0.2">
      <c r="C82" s="535" t="s">
        <v>688</v>
      </c>
      <c r="D82" s="536"/>
      <c r="E82" s="536"/>
      <c r="F82" s="536"/>
      <c r="G82" s="536"/>
      <c r="H82" s="543"/>
      <c r="I82" s="542"/>
      <c r="J82" s="542"/>
      <c r="K82" s="542"/>
      <c r="L82" s="542"/>
      <c r="M82" s="542">
        <f>M26</f>
        <v>4</v>
      </c>
      <c r="N82" s="542">
        <f t="shared" ref="N82:W82" si="59">N26</f>
        <v>5.8666666666666671</v>
      </c>
      <c r="O82" s="542">
        <f t="shared" si="59"/>
        <v>11.733333333333334</v>
      </c>
      <c r="P82" s="542">
        <f t="shared" si="59"/>
        <v>21.12</v>
      </c>
      <c r="Q82" s="542">
        <f t="shared" si="59"/>
        <v>26.400000000000002</v>
      </c>
      <c r="R82" s="542">
        <f t="shared" si="59"/>
        <v>31.68</v>
      </c>
      <c r="S82" s="542">
        <f t="shared" si="59"/>
        <v>36.431999999999995</v>
      </c>
      <c r="T82" s="542">
        <f t="shared" si="59"/>
        <v>41.896799999999992</v>
      </c>
      <c r="U82" s="542">
        <f t="shared" si="59"/>
        <v>48.181319999999985</v>
      </c>
      <c r="V82" s="542">
        <f t="shared" si="59"/>
        <v>55.40851799999998</v>
      </c>
      <c r="W82" s="543">
        <f t="shared" si="59"/>
        <v>63.71979569999997</v>
      </c>
    </row>
    <row r="83" spans="3:26" x14ac:dyDescent="0.2">
      <c r="C83" s="537" t="s">
        <v>677</v>
      </c>
      <c r="D83" s="538"/>
      <c r="E83" s="538"/>
      <c r="F83" s="538"/>
      <c r="G83" s="538"/>
      <c r="H83" s="540"/>
      <c r="I83" s="539"/>
      <c r="J83" s="539"/>
      <c r="K83" s="539"/>
      <c r="L83" s="539"/>
      <c r="M83" s="539">
        <f>M82/M80</f>
        <v>8.8863089872576947E-3</v>
      </c>
      <c r="N83" s="539">
        <f t="shared" ref="N83:W83" si="60">N82/N80</f>
        <v>8.8810385966502127E-3</v>
      </c>
      <c r="O83" s="539">
        <f t="shared" si="60"/>
        <v>1.2103324543451444E-2</v>
      </c>
      <c r="P83" s="539">
        <f t="shared" si="60"/>
        <v>1.4845270299440112E-2</v>
      </c>
      <c r="Q83" s="539">
        <f t="shared" si="60"/>
        <v>1.9706242624154935E-2</v>
      </c>
      <c r="R83" s="539">
        <f t="shared" si="60"/>
        <v>2.7285566710368369E-2</v>
      </c>
      <c r="S83" s="539">
        <f t="shared" si="60"/>
        <v>2.614866809743634E-2</v>
      </c>
      <c r="T83" s="539">
        <f t="shared" si="60"/>
        <v>2.5059140260043175E-2</v>
      </c>
      <c r="U83" s="539">
        <f t="shared" si="60"/>
        <v>2.4015009415874707E-2</v>
      </c>
      <c r="V83" s="539">
        <f t="shared" si="60"/>
        <v>4.6028768047093098E-2</v>
      </c>
      <c r="W83" s="540">
        <f t="shared" si="60"/>
        <v>9.6241969553012854E-2</v>
      </c>
    </row>
    <row r="87" spans="3:26" x14ac:dyDescent="0.2">
      <c r="M87" s="565"/>
    </row>
    <row r="94" spans="3:26" x14ac:dyDescent="0.2">
      <c r="Z94" s="525" t="s">
        <v>656</v>
      </c>
    </row>
    <row r="95" spans="3:26" x14ac:dyDescent="0.2">
      <c r="Z95" s="525" t="s">
        <v>657</v>
      </c>
    </row>
    <row r="97" spans="29:31" x14ac:dyDescent="0.2">
      <c r="AC97" s="199" t="s">
        <v>659</v>
      </c>
      <c r="AD97" s="199" t="s">
        <v>660</v>
      </c>
      <c r="AE97" s="1" t="s">
        <v>658</v>
      </c>
    </row>
    <row r="98" spans="29:31" x14ac:dyDescent="0.2">
      <c r="AC98" s="18">
        <v>17</v>
      </c>
      <c r="AD98" s="1">
        <v>40</v>
      </c>
      <c r="AE98" s="33">
        <f>RATE(9,,-AC98,AD98)</f>
        <v>9.9740246340668665E-2</v>
      </c>
    </row>
  </sheetData>
  <hyperlinks>
    <hyperlink ref="Z94" r:id="rId1" display="https://www.woodmac.com/press-releases/u.s.-solar-industry-sets-records-in-2020-on-track-to-quadruple-by-2030/" xr:uid="{524E893B-2D2E-4332-B528-87810D5C54D6}"/>
    <hyperlink ref="Z95" r:id="rId2" location=":~:text=Key%20Figures%201%20In%202021%2C%20the%20US%20solar,for%20utility%20solar%20in%20the%20state.%20More%20items" display="https://www.seia.org/research-resources/solar-market-insight-report-2021-year-review - :~:text=Key%20Figures%201%20In%202021%2C%20the%20US%20solar,for%20utility%20solar%20in%20the%20state.%20More%20items" xr:uid="{5E31E818-22AA-47A9-B6F3-62E1C8DE6328}"/>
  </hyperlinks>
  <pageMargins left="0.7" right="0.7" top="0.75" bottom="0.75" header="0.3" footer="0.3"/>
  <drawing r:id="rId3"/>
  <legacyDrawing r:id="rId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177C6-9F6A-42A6-ABC8-DA6C7A1AD86B}">
  <sheetPr>
    <tabColor theme="1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1"/>
  </sheetPr>
  <dimension ref="B2:K95"/>
  <sheetViews>
    <sheetView workbookViewId="0">
      <selection activeCell="C4" sqref="C4"/>
    </sheetView>
  </sheetViews>
  <sheetFormatPr defaultRowHeight="14.25" x14ac:dyDescent="0.2"/>
  <cols>
    <col min="1" max="1" width="9.140625" style="1"/>
    <col min="2" max="2" width="25.85546875" style="1" customWidth="1"/>
    <col min="3" max="9" width="10.28515625" style="1" customWidth="1"/>
    <col min="10" max="10" width="1.140625" style="1" customWidth="1"/>
    <col min="11" max="11" width="10.28515625" style="1" customWidth="1"/>
    <col min="12" max="14" width="11.42578125" style="1" customWidth="1"/>
    <col min="15" max="16384" width="9.140625" style="1"/>
  </cols>
  <sheetData>
    <row r="2" spans="2:11" ht="15" x14ac:dyDescent="0.25">
      <c r="B2" s="6" t="s">
        <v>524</v>
      </c>
      <c r="C2" s="6"/>
      <c r="D2" s="6"/>
      <c r="E2" s="6"/>
      <c r="F2" s="6"/>
      <c r="G2" s="6"/>
      <c r="H2" s="6"/>
      <c r="I2" s="6"/>
      <c r="J2" s="6"/>
      <c r="K2" s="6"/>
    </row>
    <row r="4" spans="2:11" x14ac:dyDescent="0.2">
      <c r="B4" s="1" t="s">
        <v>525</v>
      </c>
      <c r="C4" s="82">
        <f>Cover!$B$35</f>
        <v>44862</v>
      </c>
    </row>
    <row r="5" spans="2:11" x14ac:dyDescent="0.2">
      <c r="B5" s="1" t="s">
        <v>523</v>
      </c>
      <c r="C5" s="32">
        <f>YEARFRAC(C4,C6,0)</f>
        <v>0.17499999999999999</v>
      </c>
    </row>
    <row r="6" spans="2:11" x14ac:dyDescent="0.2">
      <c r="B6" s="1" t="s">
        <v>528</v>
      </c>
      <c r="C6" s="82">
        <v>44926</v>
      </c>
    </row>
    <row r="7" spans="2:11" x14ac:dyDescent="0.2">
      <c r="B7" s="1" t="s">
        <v>48</v>
      </c>
      <c r="C7" s="32">
        <v>0.21</v>
      </c>
    </row>
    <row r="8" spans="2:11" x14ac:dyDescent="0.2">
      <c r="B8" s="1" t="s">
        <v>529</v>
      </c>
      <c r="C8" s="337">
        <f>WACC!G26</f>
        <v>0.1</v>
      </c>
    </row>
    <row r="9" spans="2:11" x14ac:dyDescent="0.2">
      <c r="B9" s="1" t="s">
        <v>532</v>
      </c>
      <c r="C9" s="339">
        <v>3.5000000000000003E-2</v>
      </c>
    </row>
    <row r="12" spans="2:11" ht="15" x14ac:dyDescent="0.25">
      <c r="B12" s="6" t="s">
        <v>58</v>
      </c>
      <c r="C12" s="6"/>
      <c r="D12" s="6"/>
      <c r="E12" s="6"/>
      <c r="F12" s="6"/>
      <c r="G12" s="6"/>
      <c r="H12" s="6"/>
      <c r="I12" s="6"/>
      <c r="K12" s="6"/>
    </row>
    <row r="14" spans="2:11" ht="36.75" customHeight="1" x14ac:dyDescent="0.25">
      <c r="B14" s="29"/>
      <c r="C14" s="300">
        <v>2021</v>
      </c>
      <c r="D14" s="301">
        <f t="shared" ref="D14:I14" si="0">C14+1</f>
        <v>2022</v>
      </c>
      <c r="E14" s="301">
        <f t="shared" si="0"/>
        <v>2023</v>
      </c>
      <c r="F14" s="301">
        <f t="shared" si="0"/>
        <v>2024</v>
      </c>
      <c r="G14" s="301">
        <f t="shared" si="0"/>
        <v>2025</v>
      </c>
      <c r="H14" s="301">
        <f t="shared" si="0"/>
        <v>2026</v>
      </c>
      <c r="I14" s="304">
        <f t="shared" si="0"/>
        <v>2027</v>
      </c>
      <c r="J14" s="302"/>
      <c r="K14" s="303" t="s">
        <v>526</v>
      </c>
    </row>
    <row r="15" spans="2:11" x14ac:dyDescent="0.2">
      <c r="C15" s="297"/>
      <c r="I15" s="297"/>
    </row>
    <row r="16" spans="2:11" x14ac:dyDescent="0.2">
      <c r="B16" s="1" t="s">
        <v>29</v>
      </c>
      <c r="C16" s="491">
        <f>IS!G9</f>
        <v>213.21199999999999</v>
      </c>
      <c r="D16" s="492">
        <f>IS!H9</f>
        <v>303.29499999999996</v>
      </c>
      <c r="E16" s="492">
        <f>IS!I9</f>
        <v>470.10725000000002</v>
      </c>
      <c r="F16" s="492">
        <f>IS!J9</f>
        <v>611.13942500000007</v>
      </c>
      <c r="G16" s="492">
        <f>IS!K9</f>
        <v>763.92428125000015</v>
      </c>
      <c r="H16" s="492">
        <f>IS!L9</f>
        <v>916.70913750000011</v>
      </c>
      <c r="I16" s="491">
        <f>IS!M9</f>
        <v>1054.215508125</v>
      </c>
      <c r="J16" s="302"/>
      <c r="K16" s="492">
        <f>I16</f>
        <v>1054.215508125</v>
      </c>
    </row>
    <row r="17" spans="2:11" x14ac:dyDescent="0.2">
      <c r="B17" s="1" t="s">
        <v>30</v>
      </c>
      <c r="C17" s="493"/>
      <c r="D17" s="494">
        <f t="shared" ref="D17:I17" si="1">D16/C16-1</f>
        <v>0.42250436185580531</v>
      </c>
      <c r="E17" s="494">
        <f t="shared" si="1"/>
        <v>0.55000000000000027</v>
      </c>
      <c r="F17" s="495">
        <f t="shared" si="1"/>
        <v>0.30000000000000004</v>
      </c>
      <c r="G17" s="496">
        <f t="shared" si="1"/>
        <v>0.25</v>
      </c>
      <c r="H17" s="496">
        <f t="shared" si="1"/>
        <v>0.19999999999999996</v>
      </c>
      <c r="I17" s="497">
        <f t="shared" si="1"/>
        <v>0.14999999999999991</v>
      </c>
      <c r="J17" s="424"/>
      <c r="K17" s="496">
        <f>K16/I16-1</f>
        <v>0</v>
      </c>
    </row>
    <row r="18" spans="2:11" x14ac:dyDescent="0.2">
      <c r="C18" s="498"/>
      <c r="D18" s="302"/>
      <c r="E18" s="302"/>
      <c r="F18" s="302"/>
      <c r="G18" s="302"/>
      <c r="H18" s="302"/>
      <c r="I18" s="498"/>
      <c r="J18" s="302"/>
      <c r="K18" s="302"/>
    </row>
    <row r="19" spans="2:11" x14ac:dyDescent="0.2">
      <c r="B19" s="1" t="s">
        <v>31</v>
      </c>
      <c r="C19" s="491">
        <f>IS!G54</f>
        <v>68.825999999999979</v>
      </c>
      <c r="D19" s="492">
        <f ca="1">IS!H54</f>
        <v>78.047573251462779</v>
      </c>
      <c r="E19" s="492">
        <f ca="1">IS!I54</f>
        <v>131.37291447833042</v>
      </c>
      <c r="F19" s="492">
        <f ca="1">IS!J54</f>
        <v>164.5154714158304</v>
      </c>
      <c r="G19" s="492">
        <f ca="1">IS!K54</f>
        <v>199.14670096270549</v>
      </c>
      <c r="H19" s="492">
        <f ca="1">IS!L54</f>
        <v>233.77793050958053</v>
      </c>
      <c r="I19" s="491">
        <f ca="1">IS!M54</f>
        <v>264.94603710176801</v>
      </c>
      <c r="J19" s="492"/>
      <c r="K19" s="492">
        <f ca="1">I19</f>
        <v>264.94603710176801</v>
      </c>
    </row>
    <row r="20" spans="2:11" x14ac:dyDescent="0.2">
      <c r="B20" s="1" t="s">
        <v>32</v>
      </c>
      <c r="C20" s="493">
        <f t="shared" ref="C20:K20" si="2">C19/C16</f>
        <v>0.32280547061141018</v>
      </c>
      <c r="D20" s="494">
        <f ca="1">D19/D16</f>
        <v>0.25733221204260798</v>
      </c>
      <c r="E20" s="494">
        <f t="shared" ca="1" si="2"/>
        <v>0.27945307050323176</v>
      </c>
      <c r="F20" s="494">
        <f t="shared" ca="1" si="2"/>
        <v>0.2691946627659153</v>
      </c>
      <c r="G20" s="499">
        <f t="shared" ca="1" si="2"/>
        <v>0.26068905760770444</v>
      </c>
      <c r="H20" s="499">
        <f t="shared" ca="1" si="2"/>
        <v>0.25501865416889719</v>
      </c>
      <c r="I20" s="500">
        <f t="shared" ca="1" si="2"/>
        <v>0.25132056496967498</v>
      </c>
      <c r="J20" s="302"/>
      <c r="K20" s="499">
        <f t="shared" ca="1" si="2"/>
        <v>0.25132056496967498</v>
      </c>
    </row>
    <row r="21" spans="2:11" x14ac:dyDescent="0.2">
      <c r="C21" s="498"/>
      <c r="D21" s="302"/>
      <c r="E21" s="302"/>
      <c r="F21" s="302"/>
      <c r="G21" s="302"/>
      <c r="H21" s="302"/>
      <c r="I21" s="498"/>
      <c r="J21" s="302"/>
      <c r="K21" s="302"/>
    </row>
    <row r="22" spans="2:11" x14ac:dyDescent="0.2">
      <c r="B22" s="1" t="s">
        <v>33</v>
      </c>
      <c r="C22" s="501">
        <f>-IS!G20</f>
        <v>-8.52</v>
      </c>
      <c r="D22" s="502">
        <f>-IS!H20</f>
        <v>-11.943104</v>
      </c>
      <c r="E22" s="502">
        <f>-IS!I20</f>
        <v>-12.81039825</v>
      </c>
      <c r="F22" s="502">
        <f>-IS!J20</f>
        <v>-13.558644924999999</v>
      </c>
      <c r="G22" s="502">
        <f>-IS!K20</f>
        <v>-14.933708631250001</v>
      </c>
      <c r="H22" s="502">
        <f>-IS!L20</f>
        <v>-16.614342050000001</v>
      </c>
      <c r="I22" s="501">
        <f>-IS!M20</f>
        <v>-17.455079695625003</v>
      </c>
      <c r="J22" s="302"/>
      <c r="K22" s="492">
        <f>I22</f>
        <v>-17.455079695625003</v>
      </c>
    </row>
    <row r="23" spans="2:11" x14ac:dyDescent="0.2">
      <c r="B23" s="1" t="s">
        <v>34</v>
      </c>
      <c r="C23" s="491">
        <f t="shared" ref="C23:I23" si="3">SUM(C19,C22)</f>
        <v>60.305999999999983</v>
      </c>
      <c r="D23" s="492">
        <f t="shared" ca="1" si="3"/>
        <v>66.104469251462774</v>
      </c>
      <c r="E23" s="492">
        <f t="shared" ca="1" si="3"/>
        <v>118.56251622833041</v>
      </c>
      <c r="F23" s="492">
        <f t="shared" ca="1" si="3"/>
        <v>150.95682649083039</v>
      </c>
      <c r="G23" s="492">
        <f t="shared" ca="1" si="3"/>
        <v>184.2129923314555</v>
      </c>
      <c r="H23" s="492">
        <f t="shared" ca="1" si="3"/>
        <v>217.16358845958052</v>
      </c>
      <c r="I23" s="491">
        <f t="shared" ca="1" si="3"/>
        <v>247.49095740614302</v>
      </c>
      <c r="J23" s="492"/>
      <c r="K23" s="492">
        <f ca="1">SUM(K19,K22)</f>
        <v>247.49095740614302</v>
      </c>
    </row>
    <row r="24" spans="2:11" x14ac:dyDescent="0.2">
      <c r="B24" s="1" t="s">
        <v>32</v>
      </c>
      <c r="C24" s="493">
        <f t="shared" ref="C24:I24" si="4">C23/C$16</f>
        <v>0.28284524323208821</v>
      </c>
      <c r="D24" s="494">
        <f t="shared" ca="1" si="4"/>
        <v>0.21795436539165758</v>
      </c>
      <c r="E24" s="494">
        <f t="shared" ca="1" si="4"/>
        <v>0.25220312222015379</v>
      </c>
      <c r="F24" s="494">
        <f t="shared" ca="1" si="4"/>
        <v>0.24700881716284362</v>
      </c>
      <c r="G24" s="494">
        <f t="shared" ca="1" si="4"/>
        <v>0.24114038112524711</v>
      </c>
      <c r="H24" s="494">
        <f t="shared" ca="1" si="4"/>
        <v>0.23689475710018271</v>
      </c>
      <c r="I24" s="493">
        <f t="shared" ca="1" si="4"/>
        <v>0.23476315373725049</v>
      </c>
      <c r="J24" s="302"/>
      <c r="K24" s="494">
        <f ca="1">K23/K$16</f>
        <v>0.23476315373725049</v>
      </c>
    </row>
    <row r="25" spans="2:11" x14ac:dyDescent="0.2">
      <c r="C25" s="498"/>
      <c r="D25" s="302"/>
      <c r="E25" s="302"/>
      <c r="F25" s="302"/>
      <c r="G25" s="302"/>
      <c r="H25" s="302"/>
      <c r="I25" s="498"/>
      <c r="J25" s="302"/>
      <c r="K25" s="302"/>
    </row>
    <row r="26" spans="2:11" x14ac:dyDescent="0.2">
      <c r="B26" s="1" t="s">
        <v>35</v>
      </c>
      <c r="C26" s="501">
        <f t="shared" ref="C26:K26" si="5">-C22</f>
        <v>8.52</v>
      </c>
      <c r="D26" s="502">
        <f t="shared" si="5"/>
        <v>11.943104</v>
      </c>
      <c r="E26" s="502">
        <f t="shared" si="5"/>
        <v>12.81039825</v>
      </c>
      <c r="F26" s="502">
        <f t="shared" si="5"/>
        <v>13.558644924999999</v>
      </c>
      <c r="G26" s="502">
        <f t="shared" si="5"/>
        <v>14.933708631250001</v>
      </c>
      <c r="H26" s="502">
        <f t="shared" si="5"/>
        <v>16.614342050000001</v>
      </c>
      <c r="I26" s="501">
        <f t="shared" si="5"/>
        <v>17.455079695625003</v>
      </c>
      <c r="J26" s="502"/>
      <c r="K26" s="502">
        <f t="shared" si="5"/>
        <v>17.455079695625003</v>
      </c>
    </row>
    <row r="27" spans="2:11" x14ac:dyDescent="0.2">
      <c r="B27" s="1" t="s">
        <v>36</v>
      </c>
      <c r="C27" s="501">
        <f>IS!G33</f>
        <v>-8.5999999999999993E-2</v>
      </c>
      <c r="D27" s="502">
        <f ca="1">IS!H33</f>
        <v>-6.4116910807599004</v>
      </c>
      <c r="E27" s="502">
        <f ca="1">IS!I33</f>
        <v>-15.439948557654114</v>
      </c>
      <c r="F27" s="502">
        <f ca="1">IS!J33</f>
        <v>-23.287578528716629</v>
      </c>
      <c r="G27" s="502">
        <f ca="1">IS!K33</f>
        <v>-30.729234711656265</v>
      </c>
      <c r="H27" s="502">
        <f ca="1">IS!L33</f>
        <v>-37.66946614856252</v>
      </c>
      <c r="I27" s="501">
        <f ca="1">IS!M33</f>
        <v>-44.009364877340637</v>
      </c>
      <c r="J27" s="502"/>
      <c r="K27" s="502">
        <f ca="1">I27</f>
        <v>-44.009364877340637</v>
      </c>
    </row>
    <row r="28" spans="2:11" x14ac:dyDescent="0.2">
      <c r="B28" s="1" t="s">
        <v>37</v>
      </c>
      <c r="C28" s="501">
        <f>CF!F24</f>
        <v>-4.1260000000000003</v>
      </c>
      <c r="D28" s="502">
        <f>CF!G24</f>
        <v>-3.76729</v>
      </c>
      <c r="E28" s="502">
        <f>CF!H24</f>
        <v>-4.7010725000000004</v>
      </c>
      <c r="F28" s="502">
        <f>CF!I24</f>
        <v>-6.1113942500000009</v>
      </c>
      <c r="G28" s="502">
        <f>CF!J24</f>
        <v>-7.6392428125000018</v>
      </c>
      <c r="H28" s="502">
        <f>CF!K24</f>
        <v>-9.1670913750000018</v>
      </c>
      <c r="I28" s="501">
        <f>CF!L24</f>
        <v>-10.54215508125</v>
      </c>
      <c r="J28" s="502"/>
      <c r="K28" s="502">
        <f>I28</f>
        <v>-10.54215508125</v>
      </c>
    </row>
    <row r="29" spans="2:11" x14ac:dyDescent="0.2">
      <c r="B29" s="68" t="s">
        <v>580</v>
      </c>
      <c r="C29" s="501">
        <f>BS!F88</f>
        <v>-33.414999999999999</v>
      </c>
      <c r="D29" s="502">
        <f>BS!G88</f>
        <v>-25.379153424657531</v>
      </c>
      <c r="E29" s="502">
        <f>BS!H88</f>
        <v>-40.261661472602682</v>
      </c>
      <c r="F29" s="502">
        <f>BS!I88</f>
        <v>31.789242043435067</v>
      </c>
      <c r="G29" s="502">
        <f>BS!J88</f>
        <v>-23.732718246346082</v>
      </c>
      <c r="H29" s="502">
        <f>BS!K88</f>
        <v>-23.420034814212315</v>
      </c>
      <c r="I29" s="501">
        <f>BS!L88</f>
        <v>-21.12826197046229</v>
      </c>
      <c r="J29" s="502"/>
      <c r="K29" s="502">
        <f>I29</f>
        <v>-21.12826197046229</v>
      </c>
    </row>
    <row r="30" spans="2:11" ht="15" x14ac:dyDescent="0.25">
      <c r="B30" s="14" t="s">
        <v>527</v>
      </c>
      <c r="C30" s="503">
        <f t="shared" ref="C30:I30" si="6">C23+SUM(C26:C29)</f>
        <v>31.198999999999984</v>
      </c>
      <c r="D30" s="504">
        <f t="shared" ca="1" si="6"/>
        <v>42.489438746045344</v>
      </c>
      <c r="E30" s="504">
        <f t="shared" ca="1" si="6"/>
        <v>70.970231948073604</v>
      </c>
      <c r="F30" s="504">
        <f t="shared" ca="1" si="6"/>
        <v>166.90574068054883</v>
      </c>
      <c r="G30" s="504">
        <f t="shared" ca="1" si="6"/>
        <v>137.04550519220317</v>
      </c>
      <c r="H30" s="504">
        <f t="shared" ca="1" si="6"/>
        <v>163.5213381718057</v>
      </c>
      <c r="I30" s="503">
        <f t="shared" ca="1" si="6"/>
        <v>189.26625517271509</v>
      </c>
      <c r="J30" s="502"/>
      <c r="K30" s="504">
        <f ca="1">K23+SUM(K26:K29)</f>
        <v>189.26625517271509</v>
      </c>
    </row>
    <row r="31" spans="2:11" x14ac:dyDescent="0.2">
      <c r="B31" s="162" t="s">
        <v>38</v>
      </c>
      <c r="C31" s="505"/>
      <c r="D31" s="506">
        <f>C5/2</f>
        <v>8.7499999999999994E-2</v>
      </c>
      <c r="E31" s="506">
        <f>D31+1</f>
        <v>1.0874999999999999</v>
      </c>
      <c r="F31" s="506">
        <f>E31+1</f>
        <v>2.0874999999999999</v>
      </c>
      <c r="G31" s="506">
        <f>F31+1</f>
        <v>3.0874999999999999</v>
      </c>
      <c r="H31" s="506">
        <f>G31+1</f>
        <v>4.0875000000000004</v>
      </c>
      <c r="I31" s="507">
        <f>H31+1</f>
        <v>5.0875000000000004</v>
      </c>
      <c r="J31" s="506"/>
      <c r="K31" s="506">
        <f>I31+1</f>
        <v>6.0875000000000004</v>
      </c>
    </row>
    <row r="32" spans="2:11" x14ac:dyDescent="0.2">
      <c r="B32" s="162" t="s">
        <v>39</v>
      </c>
      <c r="C32" s="508"/>
      <c r="D32" s="506">
        <f t="shared" ref="D32:I32" si="7">1/(1+$D$37)^D31</f>
        <v>0.99169503760232047</v>
      </c>
      <c r="E32" s="506">
        <f t="shared" si="7"/>
        <v>0.90154094327483669</v>
      </c>
      <c r="F32" s="506">
        <f t="shared" si="7"/>
        <v>0.81958267570439691</v>
      </c>
      <c r="G32" s="506">
        <f t="shared" si="7"/>
        <v>0.74507515973126981</v>
      </c>
      <c r="H32" s="506">
        <f t="shared" si="7"/>
        <v>0.67734105430115432</v>
      </c>
      <c r="I32" s="507">
        <f t="shared" si="7"/>
        <v>0.61576459481923118</v>
      </c>
      <c r="J32" s="506"/>
      <c r="K32" s="506">
        <f>1/(1+$D$37)^K31</f>
        <v>0.55978599529021011</v>
      </c>
    </row>
    <row r="33" spans="2:11" x14ac:dyDescent="0.2">
      <c r="B33" s="38" t="s">
        <v>40</v>
      </c>
      <c r="C33" s="509"/>
      <c r="D33" s="510">
        <f t="shared" ref="D33:I33" ca="1" si="8">D32*D30</f>
        <v>42.136565554960931</v>
      </c>
      <c r="E33" s="510">
        <f t="shared" ca="1" si="8"/>
        <v>63.982569854900227</v>
      </c>
      <c r="F33" s="510">
        <f t="shared" ca="1" si="8"/>
        <v>136.79305353738843</v>
      </c>
      <c r="G33" s="510">
        <f t="shared" ca="1" si="8"/>
        <v>102.10920167153334</v>
      </c>
      <c r="H33" s="510">
        <f t="shared" ca="1" si="8"/>
        <v>110.75971559802646</v>
      </c>
      <c r="I33" s="511">
        <f t="shared" ca="1" si="8"/>
        <v>116.54345892938012</v>
      </c>
      <c r="J33" s="510"/>
      <c r="K33" s="510"/>
    </row>
    <row r="36" spans="2:11" ht="15" x14ac:dyDescent="0.25">
      <c r="B36" s="29" t="s">
        <v>42</v>
      </c>
      <c r="C36" s="28"/>
      <c r="D36" s="28"/>
    </row>
    <row r="37" spans="2:11" x14ac:dyDescent="0.2">
      <c r="B37" s="1" t="s">
        <v>43</v>
      </c>
      <c r="D37" s="338">
        <f>C8</f>
        <v>0.1</v>
      </c>
    </row>
    <row r="38" spans="2:11" x14ac:dyDescent="0.2">
      <c r="B38" s="1" t="s">
        <v>46</v>
      </c>
      <c r="D38" s="338">
        <f>C9</f>
        <v>3.5000000000000003E-2</v>
      </c>
    </row>
    <row r="39" spans="2:11" ht="3.75" customHeight="1" x14ac:dyDescent="0.2"/>
    <row r="40" spans="2:11" x14ac:dyDescent="0.2">
      <c r="B40" s="1" t="s">
        <v>47</v>
      </c>
      <c r="D40" s="36">
        <f>K32</f>
        <v>0.55978599529021011</v>
      </c>
    </row>
    <row r="41" spans="2:11" x14ac:dyDescent="0.2">
      <c r="B41" s="1" t="s">
        <v>50</v>
      </c>
      <c r="D41" s="37">
        <f ca="1">K30</f>
        <v>189.26625517271509</v>
      </c>
    </row>
    <row r="42" spans="2:11" ht="15" x14ac:dyDescent="0.25">
      <c r="B42" s="342" t="s">
        <v>51</v>
      </c>
      <c r="C42" s="342"/>
      <c r="D42" s="343">
        <f ca="1">(D41*(1+D38)/(D37-D38))</f>
        <v>3013.7011400578476</v>
      </c>
    </row>
    <row r="43" spans="2:11" ht="3.75" customHeight="1" x14ac:dyDescent="0.2"/>
    <row r="44" spans="2:11" x14ac:dyDescent="0.2">
      <c r="B44" s="1" t="s">
        <v>52</v>
      </c>
      <c r="D44" s="37">
        <f ca="1">SUM(D33:I33)</f>
        <v>572.32456514618957</v>
      </c>
    </row>
    <row r="45" spans="2:11" x14ac:dyDescent="0.2">
      <c r="B45" s="1" t="s">
        <v>53</v>
      </c>
      <c r="D45" s="37">
        <f ca="1">D42*D40</f>
        <v>1687.0276921945231</v>
      </c>
    </row>
    <row r="46" spans="2:11" ht="15" x14ac:dyDescent="0.25">
      <c r="B46" s="88" t="s">
        <v>54</v>
      </c>
      <c r="C46" s="29"/>
      <c r="D46" s="340">
        <f ca="1">SUM(D44:D45)</f>
        <v>2259.3522573407126</v>
      </c>
    </row>
    <row r="47" spans="2:11" ht="3.75" customHeight="1" x14ac:dyDescent="0.2"/>
    <row r="48" spans="2:11" x14ac:dyDescent="0.2">
      <c r="B48" s="1" t="s">
        <v>55</v>
      </c>
      <c r="D48" s="37">
        <f>SUM('TSM (SHLS)'!L17:L19)</f>
        <v>259.84699999999998</v>
      </c>
    </row>
    <row r="49" spans="2:4" ht="15" x14ac:dyDescent="0.25">
      <c r="B49" s="88" t="s">
        <v>22</v>
      </c>
      <c r="C49" s="29"/>
      <c r="D49" s="340">
        <f ca="1">D46-D48</f>
        <v>1999.5052573407127</v>
      </c>
    </row>
    <row r="50" spans="2:4" ht="3.75" customHeight="1" x14ac:dyDescent="0.2"/>
    <row r="51" spans="2:4" x14ac:dyDescent="0.2">
      <c r="B51" s="1" t="s">
        <v>56</v>
      </c>
      <c r="D51" s="37">
        <f>'TSM (SHLS)'!L15</f>
        <v>169.255357</v>
      </c>
    </row>
    <row r="52" spans="2:4" ht="15" x14ac:dyDescent="0.25">
      <c r="B52" s="88" t="s">
        <v>57</v>
      </c>
      <c r="C52" s="29"/>
      <c r="D52" s="351">
        <f ca="1">D49/D51</f>
        <v>11.813541933214632</v>
      </c>
    </row>
    <row r="53" spans="2:4" s="125" customFormat="1" ht="3.75" customHeight="1" x14ac:dyDescent="0.25">
      <c r="B53" s="342"/>
      <c r="C53" s="342"/>
      <c r="D53" s="344"/>
    </row>
    <row r="54" spans="2:4" x14ac:dyDescent="0.2">
      <c r="B54" s="1" t="s">
        <v>536</v>
      </c>
      <c r="D54" s="37">
        <f>'TSM (SHLS)'!C6</f>
        <v>22.21</v>
      </c>
    </row>
    <row r="55" spans="2:4" x14ac:dyDescent="0.2">
      <c r="B55" s="345" t="s">
        <v>537</v>
      </c>
      <c r="C55" s="346"/>
      <c r="D55" s="490">
        <f ca="1">D52/D54-1</f>
        <v>-0.46809806694215983</v>
      </c>
    </row>
    <row r="56" spans="2:4" ht="3.75" customHeight="1" x14ac:dyDescent="0.2"/>
    <row r="57" spans="2:4" ht="15" x14ac:dyDescent="0.25">
      <c r="B57" s="75" t="s">
        <v>533</v>
      </c>
      <c r="C57" s="75"/>
      <c r="D57" s="75"/>
    </row>
    <row r="58" spans="2:4" x14ac:dyDescent="0.2">
      <c r="B58" s="1" t="s">
        <v>534</v>
      </c>
      <c r="D58" s="64">
        <f ca="1">+D42*(1+D37)^(0.5)</f>
        <v>3160.7964214331441</v>
      </c>
    </row>
    <row r="59" spans="2:4" x14ac:dyDescent="0.2">
      <c r="B59" s="1" t="s">
        <v>49</v>
      </c>
      <c r="D59" s="216">
        <f ca="1">+K19</f>
        <v>264.94603710176801</v>
      </c>
    </row>
    <row r="60" spans="2:4" x14ac:dyDescent="0.2">
      <c r="B60" s="1" t="s">
        <v>535</v>
      </c>
      <c r="D60" s="225">
        <f ca="1">D58/D59</f>
        <v>11.929963006840731</v>
      </c>
    </row>
    <row r="63" spans="2:4" x14ac:dyDescent="0.2">
      <c r="B63" s="28" t="s">
        <v>41</v>
      </c>
      <c r="C63" s="28"/>
      <c r="D63" s="28"/>
    </row>
    <row r="64" spans="2:4" x14ac:dyDescent="0.2">
      <c r="B64" s="1" t="s">
        <v>43</v>
      </c>
      <c r="D64" s="32">
        <v>0.1</v>
      </c>
    </row>
    <row r="65" spans="2:11" x14ac:dyDescent="0.2">
      <c r="B65" s="1" t="s">
        <v>44</v>
      </c>
      <c r="D65" s="34">
        <v>10</v>
      </c>
    </row>
    <row r="67" spans="2:11" x14ac:dyDescent="0.2">
      <c r="B67" s="1" t="s">
        <v>45</v>
      </c>
      <c r="D67" s="36">
        <f>1/(1+$D$64)^COLUMNS(E14:K14)-1+$C$5</f>
        <v>-0.31184188176929356</v>
      </c>
    </row>
    <row r="68" spans="2:11" x14ac:dyDescent="0.2">
      <c r="B68" s="1" t="s">
        <v>49</v>
      </c>
      <c r="D68" s="37">
        <f ca="1">K19</f>
        <v>264.94603710176801</v>
      </c>
    </row>
    <row r="69" spans="2:11" x14ac:dyDescent="0.2">
      <c r="B69" s="1" t="s">
        <v>51</v>
      </c>
      <c r="D69" s="37">
        <f ca="1">D68*D65</f>
        <v>2649.4603710176802</v>
      </c>
    </row>
    <row r="71" spans="2:11" x14ac:dyDescent="0.2">
      <c r="B71" s="1" t="s">
        <v>52</v>
      </c>
      <c r="D71" s="37">
        <f ca="1">SUM(D33:K33)</f>
        <v>572.32456514618957</v>
      </c>
    </row>
    <row r="72" spans="2:11" x14ac:dyDescent="0.2">
      <c r="B72" s="1" t="s">
        <v>53</v>
      </c>
      <c r="D72" s="37">
        <f ca="1">D69*D67</f>
        <v>-826.21270777132406</v>
      </c>
    </row>
    <row r="73" spans="2:11" x14ac:dyDescent="0.2">
      <c r="B73" s="1" t="s">
        <v>54</v>
      </c>
      <c r="D73" s="37">
        <f ca="1">SUM(D71:D72)</f>
        <v>-253.88814262513449</v>
      </c>
    </row>
    <row r="76" spans="2:11" ht="15" x14ac:dyDescent="0.25">
      <c r="B76" s="29" t="s">
        <v>538</v>
      </c>
      <c r="C76" s="28"/>
      <c r="D76" s="28"/>
      <c r="E76" s="28"/>
      <c r="F76" s="28"/>
      <c r="G76" s="28"/>
      <c r="H76" s="28"/>
      <c r="I76" s="28"/>
      <c r="J76" s="28"/>
      <c r="K76" s="28"/>
    </row>
    <row r="78" spans="2:11" x14ac:dyDescent="0.2">
      <c r="C78" s="407" t="s">
        <v>540</v>
      </c>
      <c r="D78" s="68"/>
      <c r="E78" s="68"/>
      <c r="F78" s="68"/>
      <c r="G78" s="68"/>
      <c r="H78" s="68"/>
      <c r="I78" s="68"/>
    </row>
    <row r="79" spans="2:11" ht="15" x14ac:dyDescent="0.25">
      <c r="C79" s="408"/>
      <c r="D79" s="409"/>
      <c r="E79" s="410" t="s">
        <v>46</v>
      </c>
      <c r="F79" s="410"/>
      <c r="G79" s="410"/>
      <c r="H79" s="410"/>
      <c r="I79" s="410"/>
    </row>
    <row r="80" spans="2:11" ht="15" x14ac:dyDescent="0.25">
      <c r="C80" s="411"/>
      <c r="D80" s="348">
        <f ca="1">D52</f>
        <v>11.813541933214632</v>
      </c>
      <c r="E80" s="413">
        <f>F80-0.25%</f>
        <v>3.0000000000000002E-2</v>
      </c>
      <c r="F80" s="413">
        <f>G80-0.25%</f>
        <v>3.2500000000000001E-2</v>
      </c>
      <c r="G80" s="414">
        <v>3.5000000000000003E-2</v>
      </c>
      <c r="H80" s="413">
        <f>G80+0.25%</f>
        <v>3.7500000000000006E-2</v>
      </c>
      <c r="I80" s="413">
        <f>H80+0.25%</f>
        <v>4.0000000000000008E-2</v>
      </c>
      <c r="J80" s="347"/>
    </row>
    <row r="81" spans="3:9" ht="15" x14ac:dyDescent="0.25">
      <c r="C81" s="415"/>
      <c r="D81" s="416">
        <f>D82-0.25%</f>
        <v>9.5000000000000001E-2</v>
      </c>
      <c r="E81" s="417">
        <f t="dataTable" ref="E81:I85" dt2D="1" dtr="1" r1="C9" r2="C8" ca="1"/>
        <v>12.091026674299806</v>
      </c>
      <c r="F81" s="417">
        <v>12.52469536565345</v>
      </c>
      <c r="G81" s="417">
        <v>12.994503114619894</v>
      </c>
      <c r="H81" s="417">
        <v>13.505163711322545</v>
      </c>
      <c r="I81" s="417">
        <v>14.062247998634536</v>
      </c>
    </row>
    <row r="82" spans="3:9" ht="15" x14ac:dyDescent="0.25">
      <c r="C82" s="418" t="s">
        <v>539</v>
      </c>
      <c r="D82" s="416">
        <f>D83-0.25%</f>
        <v>9.7500000000000003E-2</v>
      </c>
      <c r="E82" s="419">
        <v>11.554453621437444</v>
      </c>
      <c r="F82" s="419">
        <v>11.951366878194948</v>
      </c>
      <c r="G82" s="419">
        <v>12.380033195493057</v>
      </c>
      <c r="H82" s="419">
        <v>12.844421705899336</v>
      </c>
      <c r="I82" s="419">
        <v>13.349191825906168</v>
      </c>
    </row>
    <row r="83" spans="3:9" ht="15" x14ac:dyDescent="0.25">
      <c r="C83" s="418" t="s">
        <v>411</v>
      </c>
      <c r="D83" s="416">
        <v>0.1</v>
      </c>
      <c r="E83" s="419">
        <v>11.056876162882585</v>
      </c>
      <c r="F83" s="419">
        <v>11.421196718968384</v>
      </c>
      <c r="G83" s="419">
        <v>11.813541933214632</v>
      </c>
      <c r="H83" s="419">
        <v>12.237274764600583</v>
      </c>
      <c r="I83" s="419">
        <v>12.696318665268691</v>
      </c>
    </row>
    <row r="84" spans="3:9" ht="15" x14ac:dyDescent="0.25">
      <c r="C84" s="415"/>
      <c r="D84" s="416">
        <f>D83+0.25%</f>
        <v>0.10250000000000001</v>
      </c>
      <c r="E84" s="419">
        <v>10.59424630330056</v>
      </c>
      <c r="F84" s="419">
        <v>10.929546347076275</v>
      </c>
      <c r="G84" s="419">
        <v>11.289683431131673</v>
      </c>
      <c r="H84" s="419">
        <v>11.677523367806719</v>
      </c>
      <c r="I84" s="419">
        <v>12.09639049941577</v>
      </c>
    </row>
    <row r="85" spans="3:9" ht="15" x14ac:dyDescent="0.25">
      <c r="C85" s="415"/>
      <c r="D85" s="416">
        <f>D84+0.25%</f>
        <v>0.10500000000000001</v>
      </c>
      <c r="E85" s="419">
        <v>10.16305609688265</v>
      </c>
      <c r="F85" s="419">
        <v>10.472417347939675</v>
      </c>
      <c r="G85" s="419">
        <v>10.803875831215059</v>
      </c>
      <c r="H85" s="419">
        <v>11.159886794733064</v>
      </c>
      <c r="I85" s="419">
        <v>11.543283216983227</v>
      </c>
    </row>
    <row r="88" spans="3:9" x14ac:dyDescent="0.2">
      <c r="C88" s="407" t="s">
        <v>541</v>
      </c>
      <c r="D88" s="68"/>
      <c r="E88" s="68"/>
      <c r="F88" s="68"/>
      <c r="G88" s="68"/>
      <c r="H88" s="68"/>
      <c r="I88" s="68"/>
    </row>
    <row r="89" spans="3:9" ht="15" x14ac:dyDescent="0.25">
      <c r="C89" s="408"/>
      <c r="D89" s="409"/>
      <c r="E89" s="410" t="s">
        <v>46</v>
      </c>
      <c r="F89" s="410"/>
      <c r="G89" s="410"/>
      <c r="H89" s="410"/>
      <c r="I89" s="410"/>
    </row>
    <row r="90" spans="3:9" ht="15" x14ac:dyDescent="0.25">
      <c r="C90" s="411"/>
      <c r="D90" s="412"/>
      <c r="E90" s="413">
        <f>F90-0.25%</f>
        <v>3.0000000000000002E-2</v>
      </c>
      <c r="F90" s="413">
        <f>G90-0.25%</f>
        <v>3.2500000000000001E-2</v>
      </c>
      <c r="G90" s="414">
        <v>3.5000000000000003E-2</v>
      </c>
      <c r="H90" s="413">
        <f>G90+0.25%</f>
        <v>3.7500000000000006E-2</v>
      </c>
      <c r="I90" s="413">
        <f>H90+0.25%</f>
        <v>4.0000000000000008E-2</v>
      </c>
    </row>
    <row r="91" spans="3:9" ht="15" x14ac:dyDescent="0.25">
      <c r="C91" s="415"/>
      <c r="D91" s="416">
        <f>D92-0.25%</f>
        <v>9.5000000000000001E-2</v>
      </c>
      <c r="E91" s="420">
        <f t="shared" ref="E91:I95" si="9">E81/$D$54-1</f>
        <v>-0.45560438206664533</v>
      </c>
      <c r="F91" s="420">
        <f t="shared" si="9"/>
        <v>-0.43607855174905674</v>
      </c>
      <c r="G91" s="420">
        <f t="shared" si="9"/>
        <v>-0.41492556890500254</v>
      </c>
      <c r="H91" s="420">
        <f t="shared" si="9"/>
        <v>-0.39193319624842216</v>
      </c>
      <c r="I91" s="420">
        <f t="shared" si="9"/>
        <v>-0.36685060789578861</v>
      </c>
    </row>
    <row r="92" spans="3:9" ht="15" x14ac:dyDescent="0.25">
      <c r="C92" s="418" t="s">
        <v>539</v>
      </c>
      <c r="D92" s="416">
        <f>D93-0.25%</f>
        <v>9.7500000000000003E-2</v>
      </c>
      <c r="E92" s="420">
        <f t="shared" si="9"/>
        <v>-0.47976345693663014</v>
      </c>
      <c r="F92" s="420">
        <f t="shared" si="9"/>
        <v>-0.46189253137348274</v>
      </c>
      <c r="G92" s="420">
        <f t="shared" si="9"/>
        <v>-0.44259193176528333</v>
      </c>
      <c r="H92" s="420">
        <f t="shared" si="9"/>
        <v>-0.4216829488564009</v>
      </c>
      <c r="I92" s="420">
        <f t="shared" si="9"/>
        <v>-0.3989557935206588</v>
      </c>
    </row>
    <row r="93" spans="3:9" ht="15" x14ac:dyDescent="0.25">
      <c r="C93" s="418" t="s">
        <v>411</v>
      </c>
      <c r="D93" s="416">
        <v>0.1</v>
      </c>
      <c r="E93" s="420">
        <f t="shared" si="9"/>
        <v>-0.50216676439069863</v>
      </c>
      <c r="F93" s="420">
        <f t="shared" si="9"/>
        <v>-0.48576331747103185</v>
      </c>
      <c r="G93" s="420">
        <f t="shared" si="9"/>
        <v>-0.46809806694215983</v>
      </c>
      <c r="H93" s="420">
        <f t="shared" si="9"/>
        <v>-0.44901959637097777</v>
      </c>
      <c r="I93" s="420">
        <f t="shared" si="9"/>
        <v>-0.42835125325219758</v>
      </c>
    </row>
    <row r="94" spans="3:9" ht="15" x14ac:dyDescent="0.25">
      <c r="C94" s="415"/>
      <c r="D94" s="416">
        <f>D93+0.25%</f>
        <v>0.10250000000000001</v>
      </c>
      <c r="E94" s="420">
        <f t="shared" si="9"/>
        <v>-0.52299656446192888</v>
      </c>
      <c r="F94" s="420">
        <f t="shared" si="9"/>
        <v>-0.50789975924915465</v>
      </c>
      <c r="G94" s="420">
        <f t="shared" si="9"/>
        <v>-0.49168467216876754</v>
      </c>
      <c r="H94" s="420">
        <f t="shared" si="9"/>
        <v>-0.47422227069758127</v>
      </c>
      <c r="I94" s="420">
        <f t="shared" si="9"/>
        <v>-0.45536287710870016</v>
      </c>
    </row>
    <row r="95" spans="3:9" ht="15" x14ac:dyDescent="0.25">
      <c r="C95" s="415"/>
      <c r="D95" s="416">
        <f>D94+0.25%</f>
        <v>0.10500000000000001</v>
      </c>
      <c r="E95" s="420">
        <f t="shared" si="9"/>
        <v>-0.5424108015811504</v>
      </c>
      <c r="F95" s="420">
        <f t="shared" si="9"/>
        <v>-0.52848188437912313</v>
      </c>
      <c r="G95" s="420">
        <f t="shared" si="9"/>
        <v>-0.51355804451980824</v>
      </c>
      <c r="H95" s="420">
        <f t="shared" si="9"/>
        <v>-0.49752873504128492</v>
      </c>
      <c r="I95" s="420">
        <f t="shared" si="9"/>
        <v>-0.48026640175672097</v>
      </c>
    </row>
  </sheetData>
  <conditionalFormatting sqref="D55">
    <cfRule type="cellIs" dxfId="1" priority="1" operator="lessThan">
      <formula>0</formula>
    </cfRule>
  </conditionalFormatting>
  <pageMargins left="0.7" right="0.7" top="0.75" bottom="0.75" header="0.3" footer="0.3"/>
  <pageSetup orientation="portrait" verticalDpi="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8AA80-30DA-4D1C-A1EF-471DF8C06A41}">
  <sheetPr>
    <tabColor theme="1"/>
  </sheetPr>
  <dimension ref="B2:X123"/>
  <sheetViews>
    <sheetView topLeftCell="A6" zoomScale="85" zoomScaleNormal="85" workbookViewId="0">
      <selection activeCell="E22" sqref="E22"/>
    </sheetView>
  </sheetViews>
  <sheetFormatPr defaultRowHeight="14.25" outlineLevelCol="1" x14ac:dyDescent="0.2"/>
  <cols>
    <col min="1" max="1" width="9.140625" style="1"/>
    <col min="2" max="2" width="26.5703125" style="1" customWidth="1"/>
    <col min="3" max="3" width="13.85546875" style="1" customWidth="1"/>
    <col min="4" max="7" width="9.7109375" style="1" customWidth="1"/>
    <col min="8" max="12" width="9.7109375" style="1" customWidth="1" outlineLevel="1"/>
    <col min="13" max="14" width="9.7109375" style="1" customWidth="1"/>
    <col min="15" max="15" width="1.140625" style="1" customWidth="1"/>
    <col min="16" max="16" width="9.7109375" style="1" customWidth="1"/>
    <col min="17" max="17" width="2" style="1" customWidth="1"/>
    <col min="18" max="18" width="11.42578125" style="1" customWidth="1"/>
    <col min="19" max="19" width="2" style="1" customWidth="1"/>
    <col min="20" max="20" width="11.42578125" style="1" customWidth="1"/>
    <col min="21" max="21" width="2" style="1" customWidth="1"/>
    <col min="22" max="22" width="11.42578125" style="1" customWidth="1"/>
    <col min="23" max="23" width="2" style="1" customWidth="1"/>
    <col min="24" max="24" width="11.42578125" style="1" customWidth="1"/>
    <col min="25" max="16384" width="9.140625" style="1"/>
  </cols>
  <sheetData>
    <row r="2" spans="2:24" ht="15" x14ac:dyDescent="0.25">
      <c r="B2" s="6" t="s">
        <v>524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4" spans="2:24" x14ac:dyDescent="0.2">
      <c r="B4" s="1" t="s">
        <v>525</v>
      </c>
      <c r="C4" s="82">
        <f>Cover!$B$35</f>
        <v>44862</v>
      </c>
    </row>
    <row r="5" spans="2:24" x14ac:dyDescent="0.2">
      <c r="B5" s="1" t="s">
        <v>523</v>
      </c>
      <c r="C5" s="32">
        <f>YEARFRAC(C4,C6,0)</f>
        <v>0.17499999999999999</v>
      </c>
    </row>
    <row r="6" spans="2:24" x14ac:dyDescent="0.2">
      <c r="B6" s="1" t="s">
        <v>528</v>
      </c>
      <c r="C6" s="82">
        <v>44926</v>
      </c>
    </row>
    <row r="7" spans="2:24" x14ac:dyDescent="0.2">
      <c r="B7" s="1" t="s">
        <v>48</v>
      </c>
      <c r="C7" s="32">
        <v>0.21</v>
      </c>
    </row>
    <row r="8" spans="2:24" x14ac:dyDescent="0.2">
      <c r="B8" s="1" t="s">
        <v>529</v>
      </c>
      <c r="C8" s="337">
        <f>WACC!G26</f>
        <v>0.1</v>
      </c>
    </row>
    <row r="9" spans="2:24" x14ac:dyDescent="0.2">
      <c r="B9" s="1" t="s">
        <v>532</v>
      </c>
      <c r="C9" s="339">
        <v>3.5000000000000003E-2</v>
      </c>
    </row>
    <row r="11" spans="2:24" x14ac:dyDescent="0.2">
      <c r="B11" s="1" t="s">
        <v>542</v>
      </c>
      <c r="C11" s="32">
        <v>0.1</v>
      </c>
    </row>
    <row r="12" spans="2:24" x14ac:dyDescent="0.2">
      <c r="B12" s="1" t="s">
        <v>544</v>
      </c>
      <c r="C12" s="365">
        <v>-10</v>
      </c>
    </row>
    <row r="14" spans="2:24" ht="15" x14ac:dyDescent="0.25">
      <c r="B14" s="6" t="s">
        <v>58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R14" s="367" t="s">
        <v>548</v>
      </c>
      <c r="S14" s="368"/>
      <c r="T14" s="367" t="s">
        <v>548</v>
      </c>
      <c r="U14" s="368"/>
      <c r="V14" s="367" t="s">
        <v>548</v>
      </c>
      <c r="W14" s="368"/>
      <c r="X14" s="367" t="s">
        <v>548</v>
      </c>
    </row>
    <row r="15" spans="2:24" x14ac:dyDescent="0.2">
      <c r="R15" s="368"/>
      <c r="S15" s="368"/>
      <c r="T15" s="368"/>
      <c r="U15" s="368"/>
      <c r="V15" s="368"/>
      <c r="W15" s="368"/>
      <c r="X15" s="368"/>
    </row>
    <row r="16" spans="2:24" ht="36.75" customHeight="1" x14ac:dyDescent="0.25">
      <c r="B16" s="421"/>
      <c r="C16" s="422">
        <v>2021</v>
      </c>
      <c r="D16" s="423">
        <f t="shared" ref="D16:I16" si="0">C16+1</f>
        <v>2022</v>
      </c>
      <c r="E16" s="423">
        <f t="shared" si="0"/>
        <v>2023</v>
      </c>
      <c r="F16" s="423">
        <f t="shared" si="0"/>
        <v>2024</v>
      </c>
      <c r="G16" s="423">
        <f t="shared" si="0"/>
        <v>2025</v>
      </c>
      <c r="H16" s="423">
        <f t="shared" si="0"/>
        <v>2026</v>
      </c>
      <c r="I16" s="423">
        <f t="shared" si="0"/>
        <v>2027</v>
      </c>
      <c r="J16" s="423">
        <f>I16+1</f>
        <v>2028</v>
      </c>
      <c r="K16" s="423">
        <f>J16+1</f>
        <v>2029</v>
      </c>
      <c r="L16" s="423">
        <f>K16+1</f>
        <v>2030</v>
      </c>
      <c r="M16" s="423">
        <f>L16+1</f>
        <v>2031</v>
      </c>
      <c r="N16" s="423">
        <f>M16+1</f>
        <v>2032</v>
      </c>
      <c r="O16" s="424"/>
      <c r="P16" s="425" t="s">
        <v>526</v>
      </c>
      <c r="R16" s="369" t="s">
        <v>549</v>
      </c>
      <c r="S16" s="368"/>
      <c r="T16" s="369" t="s">
        <v>550</v>
      </c>
      <c r="U16" s="368"/>
      <c r="V16" s="369" t="s">
        <v>577</v>
      </c>
      <c r="W16" s="368"/>
      <c r="X16" s="369" t="s">
        <v>576</v>
      </c>
    </row>
    <row r="17" spans="2:24" x14ac:dyDescent="0.2">
      <c r="B17" s="68"/>
      <c r="C17" s="426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</row>
    <row r="18" spans="2:24" x14ac:dyDescent="0.2">
      <c r="B18" s="68" t="s">
        <v>29</v>
      </c>
      <c r="C18" s="427">
        <f>IS!G9</f>
        <v>213.21199999999999</v>
      </c>
      <c r="D18" s="428">
        <f>IS!H9</f>
        <v>303.29499999999996</v>
      </c>
      <c r="E18" s="428">
        <f>IS!I9</f>
        <v>470.10725000000002</v>
      </c>
      <c r="F18" s="428">
        <f>IS!J9</f>
        <v>611.13942500000007</v>
      </c>
      <c r="G18" s="428">
        <f>IS!K9</f>
        <v>763.92428125000015</v>
      </c>
      <c r="H18" s="428">
        <f>IS!L9</f>
        <v>916.70913750000011</v>
      </c>
      <c r="I18" s="428">
        <f>IS!M9</f>
        <v>1054.215508125</v>
      </c>
      <c r="J18" s="428">
        <f>I18*(1+J19)</f>
        <v>1159.6370589375001</v>
      </c>
      <c r="K18" s="428">
        <f>J18*(1+K19)</f>
        <v>1275.6007648312502</v>
      </c>
      <c r="L18" s="428">
        <f>K18*(1+L19)</f>
        <v>1403.1608413143754</v>
      </c>
      <c r="M18" s="428">
        <f>L18*(1+M19)</f>
        <v>1543.4769254458131</v>
      </c>
      <c r="N18" s="428">
        <f>M18*(1+N19)</f>
        <v>1697.8246179903945</v>
      </c>
      <c r="O18" s="68"/>
      <c r="P18" s="428">
        <f>N18</f>
        <v>1697.8246179903945</v>
      </c>
      <c r="R18" s="33">
        <f>RATE(3,,-D18,G18)</f>
        <v>0.36059338293135268</v>
      </c>
      <c r="T18" s="33">
        <f>RATE(8,,-D18,L18)</f>
        <v>0.21103104267646192</v>
      </c>
      <c r="V18" s="33">
        <f>RATE(6,,-C18,I18)</f>
        <v>0.30522773249167967</v>
      </c>
      <c r="X18" s="33">
        <f>RATE(10,,-D18,N18)</f>
        <v>0.18796257092692167</v>
      </c>
    </row>
    <row r="19" spans="2:24" x14ac:dyDescent="0.2">
      <c r="B19" s="68" t="s">
        <v>30</v>
      </c>
      <c r="C19" s="429"/>
      <c r="D19" s="66">
        <f t="shared" ref="D19:I19" si="1">D18/C18-1</f>
        <v>0.42250436185580531</v>
      </c>
      <c r="E19" s="66">
        <f t="shared" si="1"/>
        <v>0.55000000000000027</v>
      </c>
      <c r="F19" s="66">
        <f t="shared" si="1"/>
        <v>0.30000000000000004</v>
      </c>
      <c r="G19" s="67">
        <f t="shared" si="1"/>
        <v>0.25</v>
      </c>
      <c r="H19" s="67">
        <f t="shared" si="1"/>
        <v>0.19999999999999996</v>
      </c>
      <c r="I19" s="67">
        <f t="shared" si="1"/>
        <v>0.14999999999999991</v>
      </c>
      <c r="J19" s="67">
        <f>C11</f>
        <v>0.1</v>
      </c>
      <c r="K19" s="67">
        <f>J19</f>
        <v>0.1</v>
      </c>
      <c r="L19" s="67">
        <f>K19</f>
        <v>0.1</v>
      </c>
      <c r="M19" s="67">
        <f>L19</f>
        <v>0.1</v>
      </c>
      <c r="N19" s="67">
        <f>M19</f>
        <v>0.1</v>
      </c>
      <c r="O19" s="68"/>
      <c r="P19" s="67">
        <f>P18/I18-1</f>
        <v>0.61051000000000055</v>
      </c>
    </row>
    <row r="20" spans="2:24" x14ac:dyDescent="0.2">
      <c r="B20" s="68"/>
      <c r="C20" s="426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</row>
    <row r="21" spans="2:24" x14ac:dyDescent="0.2">
      <c r="B21" s="68" t="s">
        <v>31</v>
      </c>
      <c r="C21" s="427">
        <f>IS!G54</f>
        <v>68.825999999999979</v>
      </c>
      <c r="D21" s="428">
        <f ca="1">IS!H54</f>
        <v>78.047573251462779</v>
      </c>
      <c r="E21" s="428">
        <f ca="1">IS!I54</f>
        <v>131.37291447833042</v>
      </c>
      <c r="F21" s="428">
        <f ca="1">IS!J54</f>
        <v>164.5154714158304</v>
      </c>
      <c r="G21" s="428">
        <f ca="1">IS!K54</f>
        <v>199.14670096270549</v>
      </c>
      <c r="H21" s="428">
        <f ca="1">IS!L54</f>
        <v>233.77793050958053</v>
      </c>
      <c r="I21" s="428">
        <f ca="1">IS!M54</f>
        <v>264.94603710176801</v>
      </c>
      <c r="J21" s="428">
        <f ca="1">J22*J18</f>
        <v>290.28100375300733</v>
      </c>
      <c r="K21" s="428">
        <f ca="1">K22*K18</f>
        <v>318.03350336347683</v>
      </c>
      <c r="L21" s="428">
        <f ca="1">L22*L18</f>
        <v>348.43369285851014</v>
      </c>
      <c r="M21" s="428">
        <f ca="1">M22*M18</f>
        <v>381.73358521891538</v>
      </c>
      <c r="N21" s="428">
        <f ca="1">N22*N18</f>
        <v>418.20911912281656</v>
      </c>
      <c r="O21" s="428"/>
      <c r="P21" s="428">
        <f ca="1">N21</f>
        <v>418.20911912281656</v>
      </c>
      <c r="R21" s="33">
        <f ca="1">RATE(3,,-D21,G21)</f>
        <v>0.36648406237293213</v>
      </c>
      <c r="T21" s="33">
        <f ca="1">RATE(8,,-D21,L21)</f>
        <v>0.20564678524264268</v>
      </c>
      <c r="V21" s="33">
        <f ca="1">RATE(6,,-C21,I21)</f>
        <v>0.25189378379858068</v>
      </c>
      <c r="X21" s="33">
        <f ca="1">RATE(10,,-D21,N21)</f>
        <v>0.18277846710870671</v>
      </c>
    </row>
    <row r="22" spans="2:24" x14ac:dyDescent="0.2">
      <c r="B22" s="68" t="s">
        <v>32</v>
      </c>
      <c r="C22" s="566">
        <f t="shared" ref="C22:P22" si="2">C21/C18</f>
        <v>0.32280547061141018</v>
      </c>
      <c r="D22" s="420">
        <f ca="1">D21/D18</f>
        <v>0.25733221204260798</v>
      </c>
      <c r="E22" s="420">
        <f t="shared" ca="1" si="2"/>
        <v>0.27945307050323176</v>
      </c>
      <c r="F22" s="420">
        <f t="shared" ca="1" si="2"/>
        <v>0.2691946627659153</v>
      </c>
      <c r="G22" s="430">
        <f t="shared" ca="1" si="2"/>
        <v>0.26068905760770444</v>
      </c>
      <c r="H22" s="430">
        <f t="shared" ca="1" si="2"/>
        <v>0.25501865416889719</v>
      </c>
      <c r="I22" s="430">
        <f t="shared" ca="1" si="2"/>
        <v>0.25132056496967498</v>
      </c>
      <c r="J22" s="420">
        <f ca="1">I22+($C$12/10000)</f>
        <v>0.25032056496967497</v>
      </c>
      <c r="K22" s="420">
        <f ca="1">J22+($C$12/10000)</f>
        <v>0.24932056496967497</v>
      </c>
      <c r="L22" s="420">
        <f ca="1">K22+($C$12/10000)</f>
        <v>0.24832056496967497</v>
      </c>
      <c r="M22" s="420">
        <f ca="1">L22+($C$12/10000)</f>
        <v>0.24732056496967497</v>
      </c>
      <c r="N22" s="420">
        <f ca="1">M22+($C$12/10000)</f>
        <v>0.24632056496967497</v>
      </c>
      <c r="O22" s="420"/>
      <c r="P22" s="420">
        <f t="shared" ca="1" si="2"/>
        <v>0.24632056496967497</v>
      </c>
    </row>
    <row r="23" spans="2:24" x14ac:dyDescent="0.2">
      <c r="B23" s="68"/>
      <c r="C23" s="426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</row>
    <row r="24" spans="2:24" x14ac:dyDescent="0.2">
      <c r="B24" s="68" t="s">
        <v>33</v>
      </c>
      <c r="C24" s="298">
        <f>-IS!G20</f>
        <v>-8.52</v>
      </c>
      <c r="D24" s="65">
        <f>-IS!H20</f>
        <v>-11.943104</v>
      </c>
      <c r="E24" s="65">
        <f>-IS!I20</f>
        <v>-12.81039825</v>
      </c>
      <c r="F24" s="65">
        <f>-IS!J20</f>
        <v>-13.558644924999999</v>
      </c>
      <c r="G24" s="65">
        <f>-IS!K20</f>
        <v>-14.933708631250001</v>
      </c>
      <c r="H24" s="65">
        <f>-IS!L20</f>
        <v>-16.614342050000001</v>
      </c>
      <c r="I24" s="65">
        <f>-IS!M20</f>
        <v>-17.455079695625003</v>
      </c>
      <c r="J24" s="65">
        <f>(I24/I18)*J18</f>
        <v>-19.200587665187506</v>
      </c>
      <c r="K24" s="65">
        <f>(J24/J18)*K18</f>
        <v>-21.120646431706259</v>
      </c>
      <c r="L24" s="65">
        <f>(K24/K18)*L18</f>
        <v>-23.232711074876885</v>
      </c>
      <c r="M24" s="65">
        <f>(L24/L18)*M18</f>
        <v>-25.555982182364577</v>
      </c>
      <c r="N24" s="65">
        <f>(M24/M18)*N18</f>
        <v>-28.111580400601035</v>
      </c>
      <c r="O24" s="68"/>
      <c r="P24" s="428">
        <f>N24</f>
        <v>-28.111580400601035</v>
      </c>
    </row>
    <row r="25" spans="2:24" x14ac:dyDescent="0.2">
      <c r="B25" s="68" t="s">
        <v>34</v>
      </c>
      <c r="C25" s="427">
        <f>C21+C24</f>
        <v>60.305999999999983</v>
      </c>
      <c r="D25" s="428">
        <f t="shared" ref="D25:N25" ca="1" si="3">D21+D24</f>
        <v>66.104469251462774</v>
      </c>
      <c r="E25" s="428">
        <f t="shared" ca="1" si="3"/>
        <v>118.56251622833041</v>
      </c>
      <c r="F25" s="428">
        <f t="shared" ca="1" si="3"/>
        <v>150.95682649083039</v>
      </c>
      <c r="G25" s="428">
        <f t="shared" ca="1" si="3"/>
        <v>184.2129923314555</v>
      </c>
      <c r="H25" s="428">
        <f t="shared" ca="1" si="3"/>
        <v>217.16358845958052</v>
      </c>
      <c r="I25" s="428">
        <f t="shared" ca="1" si="3"/>
        <v>247.49095740614302</v>
      </c>
      <c r="J25" s="428">
        <f t="shared" ca="1" si="3"/>
        <v>271.0804160878198</v>
      </c>
      <c r="K25" s="428">
        <f t="shared" ca="1" si="3"/>
        <v>296.91285693177059</v>
      </c>
      <c r="L25" s="428">
        <f t="shared" ca="1" si="3"/>
        <v>325.20098178363327</v>
      </c>
      <c r="M25" s="428">
        <f t="shared" ca="1" si="3"/>
        <v>356.17760303655081</v>
      </c>
      <c r="N25" s="428">
        <f t="shared" ca="1" si="3"/>
        <v>390.09753872221552</v>
      </c>
      <c r="O25" s="428"/>
      <c r="P25" s="428">
        <f ca="1">SUM(P21,P24)</f>
        <v>390.09753872221552</v>
      </c>
      <c r="R25" s="33">
        <f ca="1">RATE(3,,-D25,G25)</f>
        <v>0.40722371329313606</v>
      </c>
      <c r="T25" s="33">
        <f ca="1">RATE(8,,-D25,L25)</f>
        <v>0.22036608063449298</v>
      </c>
      <c r="V25" s="33">
        <f ca="1">RATE(6,,-C25,I25)</f>
        <v>0.26531833750565659</v>
      </c>
      <c r="X25" s="33">
        <f ca="1">RATE(10,,-D25,N25)</f>
        <v>0.19424721933590688</v>
      </c>
    </row>
    <row r="26" spans="2:24" x14ac:dyDescent="0.2">
      <c r="B26" s="68" t="s">
        <v>32</v>
      </c>
      <c r="C26" s="567">
        <f t="shared" ref="C26:P26" si="4">C25/C$18</f>
        <v>0.28284524323208821</v>
      </c>
      <c r="D26" s="66">
        <f t="shared" ca="1" si="4"/>
        <v>0.21795436539165758</v>
      </c>
      <c r="E26" s="66">
        <f t="shared" ca="1" si="4"/>
        <v>0.25220312222015379</v>
      </c>
      <c r="F26" s="66">
        <f t="shared" ca="1" si="4"/>
        <v>0.24700881716284362</v>
      </c>
      <c r="G26" s="66">
        <f t="shared" ca="1" si="4"/>
        <v>0.24114038112524711</v>
      </c>
      <c r="H26" s="66">
        <f t="shared" ca="1" si="4"/>
        <v>0.23689475710018271</v>
      </c>
      <c r="I26" s="66">
        <f t="shared" ca="1" si="4"/>
        <v>0.23476315373725049</v>
      </c>
      <c r="J26" s="66">
        <f ca="1">J25/J$18</f>
        <v>0.23376315373725046</v>
      </c>
      <c r="K26" s="66">
        <f ca="1">K25/K$18</f>
        <v>0.23276315373725048</v>
      </c>
      <c r="L26" s="66">
        <f ca="1">L25/L$18</f>
        <v>0.23176315373725045</v>
      </c>
      <c r="M26" s="66">
        <f ca="1">M25/M$18</f>
        <v>0.23076315373725045</v>
      </c>
      <c r="N26" s="66">
        <f ca="1">N25/N$18</f>
        <v>0.22976315373725045</v>
      </c>
      <c r="O26" s="68"/>
      <c r="P26" s="66">
        <f t="shared" ca="1" si="4"/>
        <v>0.22976315373725045</v>
      </c>
    </row>
    <row r="27" spans="2:24" x14ac:dyDescent="0.2">
      <c r="B27" s="68"/>
      <c r="C27" s="426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</row>
    <row r="28" spans="2:24" x14ac:dyDescent="0.2">
      <c r="B28" s="68" t="s">
        <v>35</v>
      </c>
      <c r="C28" s="298">
        <f t="shared" ref="C28:P28" si="5">-C24</f>
        <v>8.52</v>
      </c>
      <c r="D28" s="65">
        <f t="shared" si="5"/>
        <v>11.943104</v>
      </c>
      <c r="E28" s="65">
        <f t="shared" si="5"/>
        <v>12.81039825</v>
      </c>
      <c r="F28" s="65">
        <f t="shared" si="5"/>
        <v>13.558644924999999</v>
      </c>
      <c r="G28" s="65">
        <f t="shared" si="5"/>
        <v>14.933708631250001</v>
      </c>
      <c r="H28" s="65">
        <f t="shared" si="5"/>
        <v>16.614342050000001</v>
      </c>
      <c r="I28" s="65">
        <f t="shared" si="5"/>
        <v>17.455079695625003</v>
      </c>
      <c r="J28" s="65">
        <f t="shared" si="5"/>
        <v>19.200587665187506</v>
      </c>
      <c r="K28" s="65">
        <f t="shared" si="5"/>
        <v>21.120646431706259</v>
      </c>
      <c r="L28" s="65">
        <f t="shared" si="5"/>
        <v>23.232711074876885</v>
      </c>
      <c r="M28" s="65">
        <f t="shared" si="5"/>
        <v>25.555982182364577</v>
      </c>
      <c r="N28" s="65">
        <f t="shared" si="5"/>
        <v>28.111580400601035</v>
      </c>
      <c r="O28" s="65"/>
      <c r="P28" s="65">
        <f t="shared" si="5"/>
        <v>28.111580400601035</v>
      </c>
    </row>
    <row r="29" spans="2:24" x14ac:dyDescent="0.2">
      <c r="B29" s="68" t="s">
        <v>36</v>
      </c>
      <c r="C29" s="298">
        <f>IS!G33</f>
        <v>-8.5999999999999993E-2</v>
      </c>
      <c r="D29" s="65">
        <f ca="1">IS!H33</f>
        <v>-6.4116910807599004</v>
      </c>
      <c r="E29" s="65">
        <f ca="1">IS!I33</f>
        <v>-15.439948557654114</v>
      </c>
      <c r="F29" s="65">
        <f ca="1">IS!J33</f>
        <v>-23.287578528716629</v>
      </c>
      <c r="G29" s="65">
        <f ca="1">IS!K33</f>
        <v>-30.729234711656265</v>
      </c>
      <c r="H29" s="65">
        <f ca="1">IS!L33</f>
        <v>-37.66946614856252</v>
      </c>
      <c r="I29" s="65">
        <f ca="1">IS!M33</f>
        <v>-44.009364877340637</v>
      </c>
      <c r="J29" s="65">
        <f ca="1">J25*-($C$7)</f>
        <v>-56.926887378442153</v>
      </c>
      <c r="K29" s="65">
        <f ca="1">K25*-($C$7)</f>
        <v>-62.351699955671819</v>
      </c>
      <c r="L29" s="65">
        <f ca="1">L25*-($C$7)</f>
        <v>-68.292206174562978</v>
      </c>
      <c r="M29" s="65">
        <f ca="1">M25*-($C$7)</f>
        <v>-74.797296637675672</v>
      </c>
      <c r="N29" s="65">
        <f ca="1">N25*-($C$7)</f>
        <v>-81.92048313166525</v>
      </c>
      <c r="O29" s="65"/>
      <c r="P29" s="65">
        <f ca="1">N29</f>
        <v>-81.92048313166525</v>
      </c>
    </row>
    <row r="30" spans="2:24" x14ac:dyDescent="0.2">
      <c r="B30" s="68" t="s">
        <v>37</v>
      </c>
      <c r="C30" s="298">
        <f>CF!F24</f>
        <v>-4.1260000000000003</v>
      </c>
      <c r="D30" s="65">
        <f>CF!G24</f>
        <v>-3.76729</v>
      </c>
      <c r="E30" s="65">
        <f>CF!H24</f>
        <v>-4.7010725000000004</v>
      </c>
      <c r="F30" s="65">
        <f>CF!I24</f>
        <v>-6.1113942500000009</v>
      </c>
      <c r="G30" s="65">
        <f>CF!J24</f>
        <v>-7.6392428125000018</v>
      </c>
      <c r="H30" s="65">
        <f>CF!K24</f>
        <v>-9.1670913750000018</v>
      </c>
      <c r="I30" s="65">
        <f>CF!L24</f>
        <v>-10.54215508125</v>
      </c>
      <c r="J30" s="65">
        <f>(I30/I18)*J18</f>
        <v>-11.596370589375001</v>
      </c>
      <c r="K30" s="65">
        <f>(J30/J18)*K18</f>
        <v>-12.756007648312503</v>
      </c>
      <c r="L30" s="65">
        <f>(K30/K18)*L18</f>
        <v>-14.031608413143754</v>
      </c>
      <c r="M30" s="65">
        <f>(L30/L18)*M18</f>
        <v>-15.434769254458132</v>
      </c>
      <c r="N30" s="65">
        <f>(M30/M18)*N18</f>
        <v>-16.978246179903945</v>
      </c>
      <c r="O30" s="65"/>
      <c r="P30" s="65">
        <f>N30</f>
        <v>-16.978246179903945</v>
      </c>
    </row>
    <row r="31" spans="2:24" x14ac:dyDescent="0.2">
      <c r="B31" s="68" t="s">
        <v>580</v>
      </c>
      <c r="C31" s="298">
        <f>BS!F88</f>
        <v>-33.414999999999999</v>
      </c>
      <c r="D31" s="65">
        <f>BS!G88</f>
        <v>-25.379153424657531</v>
      </c>
      <c r="E31" s="65">
        <f>BS!H88</f>
        <v>-40.261661472602682</v>
      </c>
      <c r="F31" s="65">
        <f>BS!I88</f>
        <v>31.789242043435067</v>
      </c>
      <c r="G31" s="65">
        <f>BS!J88</f>
        <v>-23.732718246346082</v>
      </c>
      <c r="H31" s="65">
        <f>BS!K88</f>
        <v>-23.420034814212315</v>
      </c>
      <c r="I31" s="65">
        <f>BS!L88</f>
        <v>-21.12826197046229</v>
      </c>
      <c r="J31" s="65">
        <f>(I31/I18)*J18</f>
        <v>-23.241088167508522</v>
      </c>
      <c r="K31" s="65">
        <f>(J31/J18)*K18</f>
        <v>-25.565196984259376</v>
      </c>
      <c r="L31" s="65">
        <f>(K31/K18)*L18</f>
        <v>-28.121716682685317</v>
      </c>
      <c r="M31" s="65">
        <f>(L31/L18)*M18</f>
        <v>-30.933888350953854</v>
      </c>
      <c r="N31" s="65">
        <f>(M31/M18)*N18</f>
        <v>-34.02727718604924</v>
      </c>
      <c r="O31" s="65"/>
      <c r="P31" s="65">
        <f>N31</f>
        <v>-34.02727718604924</v>
      </c>
    </row>
    <row r="32" spans="2:24" ht="15" x14ac:dyDescent="0.25">
      <c r="B32" s="431" t="s">
        <v>527</v>
      </c>
      <c r="C32" s="299">
        <f>C25+SUM(C28:C31)</f>
        <v>31.198999999999984</v>
      </c>
      <c r="D32" s="69">
        <f ca="1">D25+SUM(D28:D31)</f>
        <v>42.489438746045344</v>
      </c>
      <c r="E32" s="69">
        <f ca="1">E25+SUM(E28:E31)</f>
        <v>70.970231948073604</v>
      </c>
      <c r="F32" s="69">
        <f ca="1">F25+SUM(F28:F31)</f>
        <v>166.90574068054883</v>
      </c>
      <c r="G32" s="69">
        <f ca="1">G25+SUM(G28:G31)</f>
        <v>137.04550519220317</v>
      </c>
      <c r="H32" s="69">
        <f t="shared" ref="H32:N32" ca="1" si="6">H25+SUM(H28:H31)</f>
        <v>163.5213381718057</v>
      </c>
      <c r="I32" s="69">
        <f t="shared" ca="1" si="6"/>
        <v>189.26625517271509</v>
      </c>
      <c r="J32" s="69">
        <f t="shared" ca="1" si="6"/>
        <v>198.51665761768163</v>
      </c>
      <c r="K32" s="69">
        <f t="shared" ca="1" si="6"/>
        <v>217.36059877523314</v>
      </c>
      <c r="L32" s="69">
        <f t="shared" ca="1" si="6"/>
        <v>237.98816158811809</v>
      </c>
      <c r="M32" s="69">
        <f t="shared" ca="1" si="6"/>
        <v>260.56763097582774</v>
      </c>
      <c r="N32" s="69">
        <f t="shared" ca="1" si="6"/>
        <v>285.2831126251981</v>
      </c>
      <c r="O32" s="65"/>
      <c r="P32" s="69">
        <f ca="1">P25+SUM(P28:P31)</f>
        <v>285.2831126251981</v>
      </c>
    </row>
    <row r="33" spans="2:16" x14ac:dyDescent="0.2">
      <c r="B33" s="407" t="s">
        <v>38</v>
      </c>
      <c r="C33" s="432"/>
      <c r="D33" s="433">
        <f>C5/2</f>
        <v>8.7499999999999994E-2</v>
      </c>
      <c r="E33" s="433">
        <f>D33+1</f>
        <v>1.0874999999999999</v>
      </c>
      <c r="F33" s="433">
        <f>E33+1</f>
        <v>2.0874999999999999</v>
      </c>
      <c r="G33" s="433">
        <f>F33+1</f>
        <v>3.0874999999999999</v>
      </c>
      <c r="H33" s="433">
        <f>G33+1</f>
        <v>4.0875000000000004</v>
      </c>
      <c r="I33" s="433">
        <f>H33+1</f>
        <v>5.0875000000000004</v>
      </c>
      <c r="J33" s="433">
        <f t="shared" ref="J33:O33" si="7">I33+1</f>
        <v>6.0875000000000004</v>
      </c>
      <c r="K33" s="433">
        <f t="shared" si="7"/>
        <v>7.0875000000000004</v>
      </c>
      <c r="L33" s="433">
        <f t="shared" si="7"/>
        <v>8.0875000000000004</v>
      </c>
      <c r="M33" s="433">
        <f t="shared" si="7"/>
        <v>9.0875000000000004</v>
      </c>
      <c r="N33" s="433">
        <f t="shared" si="7"/>
        <v>10.0875</v>
      </c>
      <c r="O33" s="433">
        <f t="shared" si="7"/>
        <v>11.0875</v>
      </c>
      <c r="P33" s="433">
        <f>N33+1</f>
        <v>11.0875</v>
      </c>
    </row>
    <row r="34" spans="2:16" x14ac:dyDescent="0.2">
      <c r="B34" s="407" t="s">
        <v>39</v>
      </c>
      <c r="C34" s="434"/>
      <c r="D34" s="433">
        <f t="shared" ref="D34:I34" si="8">1/(1+$D$39)^D33</f>
        <v>0.99169503760232047</v>
      </c>
      <c r="E34" s="433">
        <f t="shared" si="8"/>
        <v>0.90154094327483669</v>
      </c>
      <c r="F34" s="433">
        <f t="shared" si="8"/>
        <v>0.81958267570439691</v>
      </c>
      <c r="G34" s="433">
        <f t="shared" si="8"/>
        <v>0.74507515973126981</v>
      </c>
      <c r="H34" s="433">
        <f t="shared" si="8"/>
        <v>0.67734105430115432</v>
      </c>
      <c r="I34" s="433">
        <f t="shared" si="8"/>
        <v>0.61576459481923118</v>
      </c>
      <c r="J34" s="433">
        <f t="shared" ref="J34:O34" si="9">1/(1+$D$39)^J33</f>
        <v>0.55978599529021011</v>
      </c>
      <c r="K34" s="433">
        <f t="shared" si="9"/>
        <v>0.50889635935473643</v>
      </c>
      <c r="L34" s="433">
        <f t="shared" si="9"/>
        <v>0.46263305395885124</v>
      </c>
      <c r="M34" s="433">
        <f t="shared" si="9"/>
        <v>0.42057550359895568</v>
      </c>
      <c r="N34" s="433">
        <f t="shared" si="9"/>
        <v>0.38234136690814152</v>
      </c>
      <c r="O34" s="433">
        <f t="shared" si="9"/>
        <v>0.3475830608255831</v>
      </c>
      <c r="P34" s="433">
        <f>1/(1+$D$39)^P33</f>
        <v>0.3475830608255831</v>
      </c>
    </row>
    <row r="35" spans="2:16" x14ac:dyDescent="0.2">
      <c r="B35" s="435" t="s">
        <v>40</v>
      </c>
      <c r="C35" s="436"/>
      <c r="D35" s="437">
        <f t="shared" ref="D35:I35" ca="1" si="10">D34*D32</f>
        <v>42.136565554960931</v>
      </c>
      <c r="E35" s="437">
        <f t="shared" ca="1" si="10"/>
        <v>63.982569854900227</v>
      </c>
      <c r="F35" s="437">
        <f t="shared" ca="1" si="10"/>
        <v>136.79305353738843</v>
      </c>
      <c r="G35" s="437">
        <f t="shared" ca="1" si="10"/>
        <v>102.10920167153334</v>
      </c>
      <c r="H35" s="437">
        <f t="shared" ca="1" si="10"/>
        <v>110.75971559802646</v>
      </c>
      <c r="I35" s="437">
        <f t="shared" ca="1" si="10"/>
        <v>116.54345892938012</v>
      </c>
      <c r="J35" s="437">
        <f t="shared" ref="J35:O35" ca="1" si="11">J34*J32</f>
        <v>111.12684476619978</v>
      </c>
      <c r="K35" s="437">
        <f t="shared" ca="1" si="11"/>
        <v>110.61401738388173</v>
      </c>
      <c r="L35" s="437">
        <f t="shared" ca="1" si="11"/>
        <v>110.10119000156364</v>
      </c>
      <c r="M35" s="437">
        <f t="shared" ca="1" si="11"/>
        <v>109.5883626192456</v>
      </c>
      <c r="N35" s="437">
        <f t="shared" ca="1" si="11"/>
        <v>109.07553523692752</v>
      </c>
      <c r="O35" s="437">
        <f t="shared" si="11"/>
        <v>0</v>
      </c>
      <c r="P35" s="437"/>
    </row>
    <row r="38" spans="2:16" ht="15" x14ac:dyDescent="0.25">
      <c r="B38" s="29" t="s">
        <v>42</v>
      </c>
      <c r="C38" s="28"/>
      <c r="D38" s="512"/>
    </row>
    <row r="39" spans="2:16" x14ac:dyDescent="0.2">
      <c r="B39" s="1" t="s">
        <v>43</v>
      </c>
      <c r="D39" s="513">
        <f>C8</f>
        <v>0.1</v>
      </c>
    </row>
    <row r="40" spans="2:16" x14ac:dyDescent="0.2">
      <c r="B40" s="1" t="s">
        <v>46</v>
      </c>
      <c r="D40" s="514">
        <f>C9</f>
        <v>3.5000000000000003E-2</v>
      </c>
    </row>
    <row r="41" spans="2:16" ht="4.5" customHeight="1" x14ac:dyDescent="0.2">
      <c r="D41" s="515"/>
    </row>
    <row r="42" spans="2:16" x14ac:dyDescent="0.2">
      <c r="B42" s="1" t="s">
        <v>47</v>
      </c>
      <c r="D42" s="516">
        <f>P34</f>
        <v>0.3475830608255831</v>
      </c>
    </row>
    <row r="43" spans="2:16" x14ac:dyDescent="0.2">
      <c r="B43" s="1" t="s">
        <v>50</v>
      </c>
      <c r="D43" s="517">
        <f ca="1">P32</f>
        <v>285.2831126251981</v>
      </c>
    </row>
    <row r="44" spans="2:16" ht="15" x14ac:dyDescent="0.25">
      <c r="B44" s="342" t="s">
        <v>51</v>
      </c>
      <c r="C44" s="342"/>
      <c r="D44" s="518">
        <f ca="1">(D43*(1+D40)/(D39-D40))</f>
        <v>4542.5849471858455</v>
      </c>
    </row>
    <row r="45" spans="2:16" ht="4.5" customHeight="1" x14ac:dyDescent="0.2">
      <c r="D45" s="515"/>
    </row>
    <row r="46" spans="2:16" x14ac:dyDescent="0.2">
      <c r="B46" s="1" t="s">
        <v>52</v>
      </c>
      <c r="D46" s="517">
        <f ca="1">SUM(D35:N35)</f>
        <v>1122.8305151540078</v>
      </c>
    </row>
    <row r="47" spans="2:16" x14ac:dyDescent="0.2">
      <c r="B47" s="1" t="s">
        <v>53</v>
      </c>
      <c r="D47" s="517">
        <f ca="1">D44*D42</f>
        <v>1578.925580003076</v>
      </c>
    </row>
    <row r="48" spans="2:16" ht="15" x14ac:dyDescent="0.25">
      <c r="B48" s="88" t="s">
        <v>54</v>
      </c>
      <c r="C48" s="29"/>
      <c r="D48" s="519">
        <f ca="1">SUM(D46:D47)</f>
        <v>2701.756095157084</v>
      </c>
    </row>
    <row r="49" spans="2:4" ht="4.5" customHeight="1" x14ac:dyDescent="0.2">
      <c r="D49" s="515"/>
    </row>
    <row r="50" spans="2:4" x14ac:dyDescent="0.2">
      <c r="B50" s="1" t="s">
        <v>55</v>
      </c>
      <c r="D50" s="517">
        <f>SUM('TSM (SHLS)'!L17:L19)</f>
        <v>259.84699999999998</v>
      </c>
    </row>
    <row r="51" spans="2:4" ht="15" x14ac:dyDescent="0.25">
      <c r="B51" s="88" t="s">
        <v>22</v>
      </c>
      <c r="C51" s="29"/>
      <c r="D51" s="519">
        <f ca="1">D48-D50</f>
        <v>2441.9090951570843</v>
      </c>
    </row>
    <row r="52" spans="2:4" ht="4.5" customHeight="1" x14ac:dyDescent="0.2">
      <c r="D52" s="515"/>
    </row>
    <row r="53" spans="2:4" x14ac:dyDescent="0.2">
      <c r="B53" s="1" t="s">
        <v>56</v>
      </c>
      <c r="D53" s="517">
        <f>'TSM (SHLS)'!L15</f>
        <v>169.255357</v>
      </c>
    </row>
    <row r="54" spans="2:4" ht="15" x14ac:dyDescent="0.25">
      <c r="B54" s="88" t="s">
        <v>57</v>
      </c>
      <c r="C54" s="29"/>
      <c r="D54" s="520">
        <f ca="1">D51/D53</f>
        <v>14.42736666324295</v>
      </c>
    </row>
    <row r="55" spans="2:4" s="125" customFormat="1" ht="4.5" customHeight="1" x14ac:dyDescent="0.25">
      <c r="B55" s="342"/>
      <c r="C55" s="342"/>
      <c r="D55" s="521"/>
    </row>
    <row r="56" spans="2:4" x14ac:dyDescent="0.2">
      <c r="B56" s="1" t="s">
        <v>536</v>
      </c>
      <c r="D56" s="517">
        <f>'TSM (SHLS)'!C6</f>
        <v>22.21</v>
      </c>
    </row>
    <row r="57" spans="2:4" x14ac:dyDescent="0.2">
      <c r="B57" s="345" t="s">
        <v>537</v>
      </c>
      <c r="C57" s="346"/>
      <c r="D57" s="522">
        <f ca="1">D54/D56-1</f>
        <v>-0.35041122632854804</v>
      </c>
    </row>
    <row r="59" spans="2:4" ht="15" x14ac:dyDescent="0.25">
      <c r="B59" s="75" t="s">
        <v>533</v>
      </c>
      <c r="C59" s="75"/>
      <c r="D59" s="75"/>
    </row>
    <row r="60" spans="2:4" x14ac:dyDescent="0.2">
      <c r="B60" s="1" t="s">
        <v>534</v>
      </c>
      <c r="D60" s="64">
        <f ca="1">+D44*(1+D39)^(0.5)</f>
        <v>4764.3032861730553</v>
      </c>
    </row>
    <row r="61" spans="2:4" x14ac:dyDescent="0.2">
      <c r="B61" s="1" t="s">
        <v>49</v>
      </c>
      <c r="D61" s="216">
        <f ca="1">+P21</f>
        <v>418.20911912281656</v>
      </c>
    </row>
    <row r="62" spans="2:4" x14ac:dyDescent="0.2">
      <c r="B62" s="1" t="s">
        <v>535</v>
      </c>
      <c r="D62" s="225">
        <f ca="1">D60/D61</f>
        <v>11.392155427327996</v>
      </c>
    </row>
    <row r="65" spans="2:16" x14ac:dyDescent="0.2">
      <c r="B65" s="28" t="s">
        <v>41</v>
      </c>
      <c r="C65" s="28"/>
      <c r="D65" s="28"/>
    </row>
    <row r="66" spans="2:16" x14ac:dyDescent="0.2">
      <c r="B66" s="1" t="s">
        <v>43</v>
      </c>
      <c r="D66" s="32">
        <v>0.1</v>
      </c>
    </row>
    <row r="67" spans="2:16" x14ac:dyDescent="0.2">
      <c r="B67" s="1" t="s">
        <v>44</v>
      </c>
      <c r="D67" s="34">
        <v>10</v>
      </c>
    </row>
    <row r="69" spans="2:16" x14ac:dyDescent="0.2">
      <c r="B69" s="1" t="s">
        <v>45</v>
      </c>
      <c r="D69" s="36">
        <f>1/(1+$D$66)^COLUMNS(E16:P16)-1+$C$5</f>
        <v>-0.50636918228964345</v>
      </c>
    </row>
    <row r="70" spans="2:16" x14ac:dyDescent="0.2">
      <c r="B70" s="1" t="s">
        <v>49</v>
      </c>
      <c r="D70" s="37">
        <f ca="1">P21</f>
        <v>418.20911912281656</v>
      </c>
    </row>
    <row r="71" spans="2:16" x14ac:dyDescent="0.2">
      <c r="B71" s="1" t="s">
        <v>51</v>
      </c>
      <c r="D71" s="37">
        <f ca="1">D70*D67</f>
        <v>4182.0911912281654</v>
      </c>
    </row>
    <row r="73" spans="2:16" x14ac:dyDescent="0.2">
      <c r="B73" s="1" t="s">
        <v>52</v>
      </c>
      <c r="D73" s="37">
        <f ca="1">SUM(D35:P35)</f>
        <v>1122.8305151540078</v>
      </c>
    </row>
    <row r="74" spans="2:16" x14ac:dyDescent="0.2">
      <c r="B74" s="1" t="s">
        <v>53</v>
      </c>
      <c r="D74" s="37">
        <f ca="1">D71*D69</f>
        <v>-2117.6820967629269</v>
      </c>
    </row>
    <row r="75" spans="2:16" x14ac:dyDescent="0.2">
      <c r="B75" s="1" t="s">
        <v>54</v>
      </c>
      <c r="D75" s="37">
        <f ca="1">SUM(D73:D74)</f>
        <v>-994.8515816089191</v>
      </c>
    </row>
    <row r="78" spans="2:16" ht="15" x14ac:dyDescent="0.25">
      <c r="B78" s="29" t="s">
        <v>538</v>
      </c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</row>
    <row r="81" spans="2:16" ht="15" x14ac:dyDescent="0.25">
      <c r="B81" s="29" t="s">
        <v>546</v>
      </c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</row>
    <row r="83" spans="2:16" x14ac:dyDescent="0.2">
      <c r="C83" s="162" t="s">
        <v>540</v>
      </c>
      <c r="J83" s="125"/>
      <c r="K83" s="125"/>
      <c r="L83" s="125"/>
      <c r="M83" s="125"/>
      <c r="N83" s="125"/>
      <c r="O83" s="125"/>
      <c r="P83" s="125"/>
    </row>
    <row r="84" spans="2:16" ht="15" x14ac:dyDescent="0.25">
      <c r="C84" s="101"/>
      <c r="D84" s="102"/>
      <c r="E84" s="358" t="s">
        <v>46</v>
      </c>
      <c r="F84" s="358"/>
      <c r="G84" s="358"/>
      <c r="H84" s="358"/>
      <c r="I84" s="358"/>
      <c r="J84" s="364" t="s">
        <v>419</v>
      </c>
      <c r="K84" s="359"/>
      <c r="L84" s="359"/>
      <c r="M84" s="359"/>
      <c r="N84" s="359"/>
      <c r="O84" s="125"/>
      <c r="P84" s="125"/>
    </row>
    <row r="85" spans="2:16" ht="15" x14ac:dyDescent="0.25">
      <c r="C85" s="107"/>
      <c r="D85" s="348">
        <f ca="1">D54</f>
        <v>14.42736666324295</v>
      </c>
      <c r="E85" s="354">
        <f>F85-0.25%</f>
        <v>3.0000000000000002E-2</v>
      </c>
      <c r="F85" s="354">
        <f>G85-0.25%</f>
        <v>3.2500000000000001E-2</v>
      </c>
      <c r="G85" s="355">
        <v>3.5000000000000003E-2</v>
      </c>
      <c r="H85" s="354">
        <f>G85+0.25%</f>
        <v>3.7500000000000006E-2</v>
      </c>
      <c r="I85" s="354">
        <f>H85+0.25%</f>
        <v>4.0000000000000008E-2</v>
      </c>
      <c r="J85" s="360"/>
      <c r="K85" s="360"/>
      <c r="L85" s="360"/>
      <c r="M85" s="360"/>
      <c r="N85" s="360"/>
      <c r="O85" s="361"/>
      <c r="P85" s="125"/>
    </row>
    <row r="86" spans="2:16" ht="15" x14ac:dyDescent="0.25">
      <c r="C86" s="356"/>
      <c r="D86" s="352">
        <f>D87-0.25%</f>
        <v>9.5000000000000001E-2</v>
      </c>
      <c r="E86" s="349">
        <f t="dataTable" ref="E86:I90" dt2D="1" dtr="1" r1="C9" r2="C8" ca="1"/>
        <v>15.031977906379861</v>
      </c>
      <c r="F86" s="349">
        <v>15.447209460292278</v>
      </c>
      <c r="G86" s="349">
        <v>15.897043643697394</v>
      </c>
      <c r="H86" s="349">
        <v>16.385993843050787</v>
      </c>
      <c r="I86" s="349">
        <v>16.91939406052721</v>
      </c>
      <c r="J86" s="362"/>
      <c r="K86" s="362"/>
      <c r="L86" s="362"/>
      <c r="M86" s="362"/>
      <c r="N86" s="362"/>
      <c r="O86" s="125"/>
      <c r="P86" s="125"/>
    </row>
    <row r="87" spans="2:16" ht="15" x14ac:dyDescent="0.25">
      <c r="C87" s="357" t="s">
        <v>539</v>
      </c>
      <c r="D87" s="352">
        <f>D88-0.25%</f>
        <v>9.7500000000000003E-2</v>
      </c>
      <c r="E87" s="350">
        <v>14.350431731033416</v>
      </c>
      <c r="F87" s="350">
        <v>14.726161698501404</v>
      </c>
      <c r="G87" s="350">
        <v>15.131950063366832</v>
      </c>
      <c r="H87" s="350">
        <v>15.571554125304379</v>
      </c>
      <c r="I87" s="350">
        <v>16.049384627410408</v>
      </c>
      <c r="J87" s="363"/>
      <c r="K87" s="363"/>
      <c r="L87" s="363"/>
      <c r="M87" s="363"/>
      <c r="N87" s="363"/>
      <c r="O87" s="125"/>
      <c r="P87" s="125"/>
    </row>
    <row r="88" spans="2:16" ht="15" x14ac:dyDescent="0.25">
      <c r="C88" s="357" t="s">
        <v>411</v>
      </c>
      <c r="D88" s="353">
        <v>0.1</v>
      </c>
      <c r="E88" s="350">
        <v>13.719186859308675</v>
      </c>
      <c r="F88" s="350">
        <v>14.060162320462213</v>
      </c>
      <c r="G88" s="350">
        <v>14.42736666324295</v>
      </c>
      <c r="H88" s="350">
        <v>14.823947353446144</v>
      </c>
      <c r="I88" s="350">
        <v>15.253576434499601</v>
      </c>
      <c r="J88" s="363"/>
      <c r="K88" s="363"/>
      <c r="L88" s="363"/>
      <c r="M88" s="363"/>
      <c r="N88" s="363"/>
      <c r="O88" s="125"/>
      <c r="P88" s="125"/>
    </row>
    <row r="89" spans="2:16" ht="15" x14ac:dyDescent="0.25">
      <c r="C89" s="356"/>
      <c r="D89" s="352">
        <f>D88+0.25%</f>
        <v>0.10250000000000001</v>
      </c>
      <c r="E89" s="350">
        <v>13.132991780453251</v>
      </c>
      <c r="F89" s="350">
        <v>13.443264430106591</v>
      </c>
      <c r="G89" s="350">
        <v>13.776520238993518</v>
      </c>
      <c r="H89" s="350">
        <v>14.13541111010252</v>
      </c>
      <c r="I89" s="350">
        <v>14.523013250900236</v>
      </c>
      <c r="J89" s="363"/>
      <c r="K89" s="363"/>
      <c r="L89" s="363"/>
      <c r="M89" s="363"/>
      <c r="N89" s="363"/>
      <c r="O89" s="125"/>
      <c r="P89" s="125"/>
    </row>
    <row r="90" spans="2:16" ht="15" x14ac:dyDescent="0.25">
      <c r="C90" s="356"/>
      <c r="D90" s="352">
        <f>D89+0.25%</f>
        <v>0.10500000000000001</v>
      </c>
      <c r="E90" s="350">
        <v>12.587296791673474</v>
      </c>
      <c r="F90" s="350">
        <v>12.870343038337877</v>
      </c>
      <c r="G90" s="350">
        <v>13.173606874049737</v>
      </c>
      <c r="H90" s="350">
        <v>13.499334697592108</v>
      </c>
      <c r="I90" s="350">
        <v>13.850118507560815</v>
      </c>
      <c r="J90" s="363"/>
      <c r="K90" s="363"/>
      <c r="L90" s="363"/>
      <c r="M90" s="363"/>
      <c r="N90" s="363"/>
      <c r="O90" s="125"/>
      <c r="P90" s="125"/>
    </row>
    <row r="91" spans="2:16" x14ac:dyDescent="0.2">
      <c r="J91" s="125"/>
      <c r="K91" s="125"/>
      <c r="L91" s="125"/>
      <c r="M91" s="125"/>
      <c r="N91" s="125"/>
      <c r="O91" s="125"/>
      <c r="P91" s="125"/>
    </row>
    <row r="92" spans="2:16" x14ac:dyDescent="0.2">
      <c r="J92" s="125"/>
      <c r="K92" s="125"/>
      <c r="L92" s="125"/>
      <c r="M92" s="125"/>
      <c r="N92" s="125"/>
      <c r="O92" s="125"/>
      <c r="P92" s="125"/>
    </row>
    <row r="93" spans="2:16" x14ac:dyDescent="0.2">
      <c r="C93" s="162" t="s">
        <v>541</v>
      </c>
      <c r="J93" s="125"/>
      <c r="K93" s="125"/>
      <c r="L93" s="125"/>
      <c r="M93" s="125"/>
      <c r="N93" s="125"/>
      <c r="O93" s="125"/>
      <c r="P93" s="125"/>
    </row>
    <row r="94" spans="2:16" ht="15" x14ac:dyDescent="0.25">
      <c r="C94" s="101"/>
      <c r="D94" s="102"/>
      <c r="E94" s="358" t="s">
        <v>46</v>
      </c>
      <c r="F94" s="358"/>
      <c r="G94" s="358"/>
      <c r="H94" s="358"/>
      <c r="I94" s="358"/>
      <c r="J94" s="364" t="s">
        <v>419</v>
      </c>
      <c r="K94" s="359"/>
      <c r="L94" s="359"/>
      <c r="M94" s="359"/>
      <c r="N94" s="359"/>
      <c r="O94" s="125"/>
      <c r="P94" s="125"/>
    </row>
    <row r="95" spans="2:16" ht="15" x14ac:dyDescent="0.25">
      <c r="C95" s="107"/>
      <c r="D95" s="348"/>
      <c r="E95" s="354">
        <f>F95-0.25%</f>
        <v>3.0000000000000002E-2</v>
      </c>
      <c r="F95" s="354">
        <f>G95-0.25%</f>
        <v>3.2500000000000001E-2</v>
      </c>
      <c r="G95" s="355">
        <v>3.5000000000000003E-2</v>
      </c>
      <c r="H95" s="354">
        <f>G95+0.25%</f>
        <v>3.7500000000000006E-2</v>
      </c>
      <c r="I95" s="354">
        <f>H95+0.25%</f>
        <v>4.0000000000000008E-2</v>
      </c>
      <c r="J95" s="360"/>
      <c r="K95" s="360"/>
      <c r="L95" s="360"/>
      <c r="M95" s="360"/>
      <c r="N95" s="360"/>
      <c r="O95" s="125"/>
      <c r="P95" s="125"/>
    </row>
    <row r="96" spans="2:16" ht="15" x14ac:dyDescent="0.25">
      <c r="C96" s="356"/>
      <c r="D96" s="352">
        <f>D97-0.25%</f>
        <v>9.5000000000000001E-2</v>
      </c>
      <c r="E96" s="347">
        <f>E86/$D$56-1</f>
        <v>-0.32318874802431963</v>
      </c>
      <c r="F96" s="347">
        <f>F86/$D$56-1</f>
        <v>-0.30449304546185152</v>
      </c>
      <c r="G96" s="347">
        <f>G86/$D$56-1</f>
        <v>-0.28423936768584446</v>
      </c>
      <c r="H96" s="347">
        <f>H86/$D$56-1</f>
        <v>-0.2622245005380105</v>
      </c>
      <c r="I96" s="347">
        <f>I86/$D$56-1</f>
        <v>-0.23820828183128273</v>
      </c>
      <c r="J96" s="361"/>
      <c r="K96" s="361"/>
      <c r="L96" s="361"/>
      <c r="M96" s="361"/>
      <c r="N96" s="361"/>
      <c r="O96" s="125"/>
      <c r="P96" s="125"/>
    </row>
    <row r="97" spans="2:16" ht="15" x14ac:dyDescent="0.25">
      <c r="C97" s="357" t="s">
        <v>539</v>
      </c>
      <c r="D97" s="352">
        <f>D98-0.25%</f>
        <v>9.7500000000000003E-2</v>
      </c>
      <c r="E97" s="347">
        <f t="shared" ref="E97:I100" si="12">E87/$D$56-1</f>
        <v>-0.35387520346540224</v>
      </c>
      <c r="F97" s="347">
        <f t="shared" si="12"/>
        <v>-0.33695805049520922</v>
      </c>
      <c r="G97" s="347">
        <f t="shared" si="12"/>
        <v>-0.31868752528740063</v>
      </c>
      <c r="H97" s="347">
        <f t="shared" si="12"/>
        <v>-0.29889445631227474</v>
      </c>
      <c r="I97" s="347">
        <f t="shared" si="12"/>
        <v>-0.27738025090452911</v>
      </c>
      <c r="J97" s="347"/>
      <c r="K97" s="347"/>
      <c r="L97" s="347"/>
      <c r="M97" s="347"/>
      <c r="N97" s="347"/>
    </row>
    <row r="98" spans="2:16" ht="15" x14ac:dyDescent="0.25">
      <c r="C98" s="357" t="s">
        <v>411</v>
      </c>
      <c r="D98" s="353">
        <v>0.1</v>
      </c>
      <c r="E98" s="347">
        <f t="shared" si="12"/>
        <v>-0.38229685460114027</v>
      </c>
      <c r="F98" s="347">
        <f t="shared" si="12"/>
        <v>-0.36694451506248482</v>
      </c>
      <c r="G98" s="347">
        <f t="shared" si="12"/>
        <v>-0.35041122632854804</v>
      </c>
      <c r="H98" s="347">
        <f t="shared" si="12"/>
        <v>-0.33255527449589628</v>
      </c>
      <c r="I98" s="347">
        <f t="shared" si="12"/>
        <v>-0.31321132667719043</v>
      </c>
      <c r="J98" s="347"/>
      <c r="K98" s="347"/>
      <c r="L98" s="347"/>
      <c r="M98" s="347"/>
      <c r="N98" s="347"/>
    </row>
    <row r="99" spans="2:16" ht="15" x14ac:dyDescent="0.25">
      <c r="C99" s="356"/>
      <c r="D99" s="352">
        <f>D98+0.25%</f>
        <v>0.10250000000000001</v>
      </c>
      <c r="E99" s="347">
        <f t="shared" si="12"/>
        <v>-0.40869014946180771</v>
      </c>
      <c r="F99" s="347">
        <f t="shared" si="12"/>
        <v>-0.39472019675341774</v>
      </c>
      <c r="G99" s="347">
        <f t="shared" si="12"/>
        <v>-0.379715432733295</v>
      </c>
      <c r="H99" s="347">
        <f t="shared" si="12"/>
        <v>-0.36355645609623954</v>
      </c>
      <c r="I99" s="347">
        <f t="shared" si="12"/>
        <v>-0.34610476132821988</v>
      </c>
      <c r="J99" s="347"/>
      <c r="K99" s="347"/>
      <c r="L99" s="347"/>
      <c r="M99" s="347"/>
      <c r="N99" s="347"/>
    </row>
    <row r="100" spans="2:16" ht="15" x14ac:dyDescent="0.25">
      <c r="C100" s="356"/>
      <c r="D100" s="352">
        <f>D99+0.25%</f>
        <v>0.10500000000000001</v>
      </c>
      <c r="E100" s="347">
        <f t="shared" si="12"/>
        <v>-0.43325993734023083</v>
      </c>
      <c r="F100" s="347">
        <f t="shared" si="12"/>
        <v>-0.42051584699064037</v>
      </c>
      <c r="G100" s="347">
        <f t="shared" si="12"/>
        <v>-0.40686146447322213</v>
      </c>
      <c r="H100" s="347">
        <f t="shared" si="12"/>
        <v>-0.39219564621377279</v>
      </c>
      <c r="I100" s="347">
        <f t="shared" si="12"/>
        <v>-0.37640168808821184</v>
      </c>
      <c r="J100" s="347"/>
      <c r="K100" s="347"/>
      <c r="L100" s="347"/>
      <c r="M100" s="347"/>
      <c r="N100" s="347"/>
    </row>
    <row r="103" spans="2:16" ht="15" x14ac:dyDescent="0.25">
      <c r="B103" s="29" t="s">
        <v>547</v>
      </c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</row>
    <row r="104" spans="2:16" s="125" customFormat="1" ht="15" x14ac:dyDescent="0.25">
      <c r="B104" s="342"/>
      <c r="C104" s="121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</row>
    <row r="105" spans="2:16" s="125" customFormat="1" ht="15" x14ac:dyDescent="0.25">
      <c r="B105" s="342"/>
      <c r="C105" s="121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</row>
    <row r="106" spans="2:16" x14ac:dyDescent="0.2">
      <c r="C106" s="407" t="s">
        <v>540</v>
      </c>
      <c r="D106" s="68"/>
      <c r="E106" s="68"/>
      <c r="F106" s="68"/>
      <c r="G106" s="68"/>
    </row>
    <row r="107" spans="2:16" ht="15" x14ac:dyDescent="0.25">
      <c r="C107" s="408"/>
      <c r="D107" s="409"/>
      <c r="E107" s="410" t="s">
        <v>542</v>
      </c>
      <c r="F107" s="410"/>
      <c r="G107" s="410"/>
      <c r="H107" s="358"/>
      <c r="I107" s="358"/>
    </row>
    <row r="108" spans="2:16" ht="15" x14ac:dyDescent="0.25">
      <c r="C108" s="411"/>
      <c r="D108" s="348">
        <f ca="1">D54</f>
        <v>14.42736666324295</v>
      </c>
      <c r="E108" s="413">
        <f>F108-5%</f>
        <v>0</v>
      </c>
      <c r="F108" s="413">
        <f>G108-5%</f>
        <v>0.05</v>
      </c>
      <c r="G108" s="414">
        <v>0.1</v>
      </c>
      <c r="H108" s="354">
        <f>G108+5%</f>
        <v>0.15000000000000002</v>
      </c>
      <c r="I108" s="354">
        <f>H108+5%</f>
        <v>0.2</v>
      </c>
    </row>
    <row r="109" spans="2:16" ht="15" x14ac:dyDescent="0.25">
      <c r="C109" s="418" t="s">
        <v>31</v>
      </c>
      <c r="D109" s="438">
        <f>D110-5</f>
        <v>-20</v>
      </c>
      <c r="E109" s="417">
        <f t="dataTable" ref="E109:I113" dt2D="1" dtr="1" r1="C11" r2="C12" ca="1"/>
        <v>9.9382116572907968</v>
      </c>
      <c r="F109" s="417">
        <v>11.862903669030313</v>
      </c>
      <c r="G109" s="417">
        <v>14.162620907768323</v>
      </c>
      <c r="H109" s="349">
        <v>16.891562609276399</v>
      </c>
      <c r="I109" s="349">
        <v>20.108981827593183</v>
      </c>
    </row>
    <row r="110" spans="2:16" ht="15" x14ac:dyDescent="0.25">
      <c r="C110" s="418" t="s">
        <v>545</v>
      </c>
      <c r="D110" s="438">
        <f>D111-5</f>
        <v>-15</v>
      </c>
      <c r="E110" s="419">
        <v>10.022432969236695</v>
      </c>
      <c r="F110" s="419">
        <v>11.968990265564724</v>
      </c>
      <c r="G110" s="419">
        <v>14.294993785505634</v>
      </c>
      <c r="H110" s="350">
        <v>17.055289869134533</v>
      </c>
      <c r="I110" s="350">
        <v>20.309839344482523</v>
      </c>
    </row>
    <row r="111" spans="2:16" ht="15" x14ac:dyDescent="0.25">
      <c r="C111" s="439" t="s">
        <v>543</v>
      </c>
      <c r="D111" s="438">
        <v>-10</v>
      </c>
      <c r="E111" s="419">
        <v>10.106654281182593</v>
      </c>
      <c r="F111" s="419">
        <v>12.075076862099133</v>
      </c>
      <c r="G111" s="419">
        <v>14.42736666324295</v>
      </c>
      <c r="H111" s="350">
        <v>17.219017128992672</v>
      </c>
      <c r="I111" s="350">
        <v>20.510696861371859</v>
      </c>
    </row>
    <row r="112" spans="2:16" ht="15" x14ac:dyDescent="0.25">
      <c r="C112" s="415"/>
      <c r="D112" s="438">
        <f>D111+10</f>
        <v>0</v>
      </c>
      <c r="E112" s="419">
        <v>10.275096905074383</v>
      </c>
      <c r="F112" s="419">
        <v>12.287250055167954</v>
      </c>
      <c r="G112" s="419">
        <v>14.692112418717576</v>
      </c>
      <c r="H112" s="350">
        <v>17.546471648708941</v>
      </c>
      <c r="I112" s="350">
        <v>20.912411895150537</v>
      </c>
    </row>
    <row r="113" spans="3:9" ht="15" x14ac:dyDescent="0.25">
      <c r="C113" s="415"/>
      <c r="D113" s="438">
        <f>D112+10</f>
        <v>10</v>
      </c>
      <c r="E113" s="419">
        <v>10.443539528966175</v>
      </c>
      <c r="F113" s="419">
        <v>12.499423248236774</v>
      </c>
      <c r="G113" s="419">
        <v>14.956858174192201</v>
      </c>
      <c r="H113" s="350">
        <v>17.873926168425214</v>
      </c>
      <c r="I113" s="350">
        <v>21.31412692892922</v>
      </c>
    </row>
    <row r="114" spans="3:9" x14ac:dyDescent="0.2">
      <c r="C114" s="68"/>
      <c r="D114" s="68"/>
      <c r="E114" s="68"/>
      <c r="F114" s="68"/>
      <c r="G114" s="68"/>
    </row>
    <row r="115" spans="3:9" x14ac:dyDescent="0.2">
      <c r="C115" s="68"/>
      <c r="D115" s="68"/>
      <c r="E115" s="68"/>
      <c r="F115" s="68"/>
      <c r="G115" s="68"/>
    </row>
    <row r="116" spans="3:9" x14ac:dyDescent="0.2">
      <c r="C116" s="407" t="s">
        <v>541</v>
      </c>
      <c r="D116" s="68"/>
      <c r="E116" s="68"/>
      <c r="F116" s="68"/>
      <c r="G116" s="68"/>
    </row>
    <row r="117" spans="3:9" ht="15" x14ac:dyDescent="0.25">
      <c r="C117" s="408"/>
      <c r="D117" s="409"/>
      <c r="E117" s="410" t="s">
        <v>542</v>
      </c>
      <c r="F117" s="410"/>
      <c r="G117" s="410"/>
      <c r="H117" s="358"/>
      <c r="I117" s="358"/>
    </row>
    <row r="118" spans="3:9" ht="15" x14ac:dyDescent="0.25">
      <c r="C118" s="411"/>
      <c r="D118" s="412"/>
      <c r="E118" s="413">
        <f>F118-5%</f>
        <v>0</v>
      </c>
      <c r="F118" s="413">
        <f>G118-5%</f>
        <v>0.05</v>
      </c>
      <c r="G118" s="414">
        <v>0.1</v>
      </c>
      <c r="H118" s="354">
        <f>G118+5%</f>
        <v>0.15000000000000002</v>
      </c>
      <c r="I118" s="354">
        <f>H118+5%</f>
        <v>0.2</v>
      </c>
    </row>
    <row r="119" spans="3:9" ht="15" x14ac:dyDescent="0.25">
      <c r="C119" s="418" t="s">
        <v>31</v>
      </c>
      <c r="D119" s="438">
        <f>D120-5</f>
        <v>-20</v>
      </c>
      <c r="E119" s="440">
        <f t="shared" ref="E119:I123" si="13">E109/$D$56-1</f>
        <v>-0.55253436932504296</v>
      </c>
      <c r="F119" s="440">
        <f t="shared" si="13"/>
        <v>-0.46587556645518624</v>
      </c>
      <c r="G119" s="440">
        <f t="shared" si="13"/>
        <v>-0.36233134138818901</v>
      </c>
      <c r="H119" s="347">
        <f t="shared" si="13"/>
        <v>-0.23946138634505187</v>
      </c>
      <c r="I119" s="347">
        <f t="shared" si="13"/>
        <v>-9.4597846573922451E-2</v>
      </c>
    </row>
    <row r="120" spans="3:9" ht="15" x14ac:dyDescent="0.25">
      <c r="C120" s="418" t="s">
        <v>545</v>
      </c>
      <c r="D120" s="438">
        <f>D121-5</f>
        <v>-15</v>
      </c>
      <c r="E120" s="440">
        <f t="shared" si="13"/>
        <v>-0.54874232466291328</v>
      </c>
      <c r="F120" s="440">
        <f t="shared" si="13"/>
        <v>-0.46109904252297507</v>
      </c>
      <c r="G120" s="440">
        <f t="shared" si="13"/>
        <v>-0.35637128385836858</v>
      </c>
      <c r="H120" s="347">
        <f t="shared" si="13"/>
        <v>-0.23208960517179056</v>
      </c>
      <c r="I120" s="347">
        <f t="shared" si="13"/>
        <v>-8.5554284354681598E-2</v>
      </c>
    </row>
    <row r="121" spans="3:9" ht="15" x14ac:dyDescent="0.25">
      <c r="C121" s="439" t="s">
        <v>543</v>
      </c>
      <c r="D121" s="438">
        <v>-10</v>
      </c>
      <c r="E121" s="440">
        <f t="shared" si="13"/>
        <v>-0.54495028000078372</v>
      </c>
      <c r="F121" s="440">
        <f t="shared" si="13"/>
        <v>-0.456322518590764</v>
      </c>
      <c r="G121" s="440">
        <f>G111/$D$56-1</f>
        <v>-0.35041122632854804</v>
      </c>
      <c r="H121" s="347">
        <f t="shared" si="13"/>
        <v>-0.22471782399852902</v>
      </c>
      <c r="I121" s="347">
        <f t="shared" si="13"/>
        <v>-7.6510722135440856E-2</v>
      </c>
    </row>
    <row r="122" spans="3:9" ht="15" x14ac:dyDescent="0.25">
      <c r="C122" s="415"/>
      <c r="D122" s="438">
        <f>D121+10</f>
        <v>0</v>
      </c>
      <c r="E122" s="440">
        <f t="shared" si="13"/>
        <v>-0.5373661906765248</v>
      </c>
      <c r="F122" s="440">
        <f t="shared" si="13"/>
        <v>-0.44676947072634154</v>
      </c>
      <c r="G122" s="440">
        <f t="shared" si="13"/>
        <v>-0.33849111126890696</v>
      </c>
      <c r="H122" s="347">
        <f t="shared" si="13"/>
        <v>-0.20997426165200628</v>
      </c>
      <c r="I122" s="347">
        <f t="shared" si="13"/>
        <v>-5.8423597696959151E-2</v>
      </c>
    </row>
    <row r="123" spans="3:9" ht="15" x14ac:dyDescent="0.25">
      <c r="C123" s="415"/>
      <c r="D123" s="438">
        <f>D122+10</f>
        <v>10</v>
      </c>
      <c r="E123" s="440">
        <f t="shared" si="13"/>
        <v>-0.52978210135226589</v>
      </c>
      <c r="F123" s="440">
        <f t="shared" si="13"/>
        <v>-0.43721642286191931</v>
      </c>
      <c r="G123" s="440">
        <f t="shared" si="13"/>
        <v>-0.32657099620926611</v>
      </c>
      <c r="H123" s="347">
        <f t="shared" si="13"/>
        <v>-0.19523069930548342</v>
      </c>
      <c r="I123" s="347">
        <f t="shared" si="13"/>
        <v>-4.0336473258477334E-2</v>
      </c>
    </row>
  </sheetData>
  <conditionalFormatting sqref="D57">
    <cfRule type="cellIs" dxfId="0" priority="1" operator="lessThan">
      <formula>0</formula>
    </cfRule>
  </conditionalFormatting>
  <pageMargins left="0.7" right="0.7" top="0.75" bottom="0.75" header="0.3" footer="0.3"/>
  <pageSetup orientation="portrait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A308F-4FFC-430E-8EC5-6591433C6000}">
  <sheetPr>
    <tabColor theme="4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B5995-4834-4CFF-929F-97C61F399026}">
  <sheetPr>
    <tabColor theme="4"/>
  </sheetPr>
  <dimension ref="B2:J30"/>
  <sheetViews>
    <sheetView workbookViewId="0">
      <selection activeCell="A3" sqref="A3"/>
    </sheetView>
  </sheetViews>
  <sheetFormatPr defaultRowHeight="14.25" x14ac:dyDescent="0.2"/>
  <cols>
    <col min="1" max="6" width="9.140625" style="1"/>
    <col min="7" max="7" width="12.28515625" style="1" customWidth="1"/>
    <col min="8" max="16384" width="9.140625" style="1"/>
  </cols>
  <sheetData>
    <row r="2" spans="2:8" ht="15" x14ac:dyDescent="0.25">
      <c r="B2" s="73" t="s">
        <v>506</v>
      </c>
    </row>
    <row r="4" spans="2:8" x14ac:dyDescent="0.2">
      <c r="B4" s="441"/>
      <c r="C4" s="441"/>
      <c r="D4" s="441"/>
      <c r="E4" s="441"/>
      <c r="F4" s="441"/>
      <c r="G4" s="441"/>
      <c r="H4" s="441"/>
    </row>
    <row r="5" spans="2:8" ht="34.5" customHeight="1" x14ac:dyDescent="0.25">
      <c r="B5" s="442"/>
      <c r="C5" s="442"/>
      <c r="D5" s="442"/>
      <c r="E5" s="442"/>
      <c r="F5" s="442"/>
      <c r="G5" s="443" t="s">
        <v>507</v>
      </c>
      <c r="H5" s="444"/>
    </row>
    <row r="6" spans="2:8" ht="15" x14ac:dyDescent="0.25">
      <c r="B6" s="445"/>
      <c r="C6" s="445"/>
      <c r="D6" s="445"/>
      <c r="E6" s="445"/>
      <c r="F6" s="445"/>
      <c r="G6" s="446" t="s">
        <v>502</v>
      </c>
      <c r="H6" s="446" t="s">
        <v>503</v>
      </c>
    </row>
    <row r="7" spans="2:8" ht="17.25" customHeight="1" x14ac:dyDescent="0.25">
      <c r="B7" s="447" t="s">
        <v>629</v>
      </c>
      <c r="C7" s="68"/>
      <c r="D7" s="68"/>
      <c r="E7" s="68"/>
      <c r="F7" s="68"/>
      <c r="G7" s="448">
        <v>5.5E-2</v>
      </c>
      <c r="H7" s="448">
        <v>6.5000000000000002E-2</v>
      </c>
    </row>
    <row r="8" spans="2:8" ht="9" customHeight="1" x14ac:dyDescent="0.2">
      <c r="B8" s="68"/>
      <c r="C8" s="68" t="s">
        <v>508</v>
      </c>
      <c r="D8" s="68"/>
      <c r="E8" s="68"/>
      <c r="F8" s="68"/>
      <c r="G8" s="68"/>
      <c r="H8" s="68"/>
    </row>
    <row r="9" spans="2:8" ht="17.25" customHeight="1" x14ac:dyDescent="0.25">
      <c r="B9" s="447" t="s">
        <v>509</v>
      </c>
      <c r="C9" s="68"/>
      <c r="D9" s="68"/>
      <c r="E9" s="68"/>
      <c r="F9" s="68"/>
      <c r="G9" s="449">
        <f>'Beta Determination'!N70</f>
        <v>1.0616820817504318</v>
      </c>
      <c r="H9" s="449">
        <f>'Beta Determination'!O70</f>
        <v>1.1294388734147438</v>
      </c>
    </row>
    <row r="10" spans="2:8" ht="17.25" customHeight="1" x14ac:dyDescent="0.2">
      <c r="B10" s="435" t="s">
        <v>510</v>
      </c>
      <c r="C10" s="68"/>
      <c r="D10" s="68"/>
      <c r="E10" s="68"/>
      <c r="F10" s="68"/>
      <c r="G10" s="449">
        <f>'Beta Determination'!N68</f>
        <v>0.97955514584175662</v>
      </c>
      <c r="H10" s="449">
        <f>'Beta Determination'!O68</f>
        <v>1.042070577797692</v>
      </c>
    </row>
    <row r="11" spans="2:8" ht="17.25" customHeight="1" x14ac:dyDescent="0.2">
      <c r="B11" s="68" t="s">
        <v>511</v>
      </c>
      <c r="C11" s="68"/>
      <c r="D11" s="68"/>
      <c r="E11" s="68"/>
      <c r="F11" s="68"/>
      <c r="G11" s="448">
        <f>G7*G9</f>
        <v>5.8392514496273751E-2</v>
      </c>
      <c r="H11" s="448">
        <f>H7*H9</f>
        <v>7.3413526771958351E-2</v>
      </c>
    </row>
    <row r="12" spans="2:8" ht="17.25" customHeight="1" x14ac:dyDescent="0.2">
      <c r="B12" s="450" t="s">
        <v>630</v>
      </c>
      <c r="C12" s="68"/>
      <c r="D12" s="68"/>
      <c r="E12" s="68"/>
      <c r="F12" s="68"/>
      <c r="G12" s="451">
        <v>4.3799999999999999E-2</v>
      </c>
      <c r="H12" s="451">
        <f>G12</f>
        <v>4.3799999999999999E-2</v>
      </c>
    </row>
    <row r="13" spans="2:8" ht="17.25" customHeight="1" x14ac:dyDescent="0.25">
      <c r="B13" s="447" t="s">
        <v>512</v>
      </c>
      <c r="C13" s="447"/>
      <c r="D13" s="447"/>
      <c r="E13" s="447"/>
      <c r="F13" s="447"/>
      <c r="G13" s="452">
        <f>SUM(G11:G12)</f>
        <v>0.10219251449627376</v>
      </c>
      <c r="H13" s="452">
        <f>SUM(H11:H12)</f>
        <v>0.11721352677195834</v>
      </c>
    </row>
    <row r="14" spans="2:8" ht="17.25" customHeight="1" x14ac:dyDescent="0.2">
      <c r="B14" s="450" t="s">
        <v>513</v>
      </c>
      <c r="C14" s="68"/>
      <c r="D14" s="68"/>
      <c r="E14" s="68"/>
      <c r="F14" s="68"/>
      <c r="G14" s="448">
        <f>1-G30</f>
        <v>0.90405457188802174</v>
      </c>
      <c r="H14" s="448">
        <f>1-H30</f>
        <v>0.90405457188802174</v>
      </c>
    </row>
    <row r="15" spans="2:8" ht="17.25" customHeight="1" x14ac:dyDescent="0.25">
      <c r="B15" s="447" t="s">
        <v>514</v>
      </c>
      <c r="C15" s="447"/>
      <c r="D15" s="447"/>
      <c r="E15" s="447"/>
      <c r="F15" s="447"/>
      <c r="G15" s="452">
        <f>G13*G14</f>
        <v>9.2387609943089227E-2</v>
      </c>
      <c r="H15" s="452">
        <f>H13*H14</f>
        <v>0.10596742476530797</v>
      </c>
    </row>
    <row r="16" spans="2:8" ht="9" customHeight="1" x14ac:dyDescent="0.2">
      <c r="B16" s="68"/>
      <c r="C16" s="68"/>
      <c r="D16" s="68"/>
      <c r="E16" s="68"/>
      <c r="F16" s="68"/>
      <c r="G16" s="68"/>
      <c r="H16" s="68"/>
    </row>
    <row r="17" spans="2:10" ht="17.25" customHeight="1" x14ac:dyDescent="0.25">
      <c r="B17" s="447" t="s">
        <v>631</v>
      </c>
      <c r="C17" s="447"/>
      <c r="D17" s="447"/>
      <c r="E17" s="447"/>
      <c r="F17" s="447"/>
      <c r="G17" s="336">
        <v>4.7E-2</v>
      </c>
      <c r="H17" s="336">
        <f>G17</f>
        <v>4.7E-2</v>
      </c>
    </row>
    <row r="18" spans="2:10" ht="17.25" customHeight="1" x14ac:dyDescent="0.2">
      <c r="B18" s="68" t="s">
        <v>515</v>
      </c>
      <c r="C18" s="68"/>
      <c r="D18" s="68"/>
      <c r="E18" s="68"/>
      <c r="F18" s="68"/>
      <c r="G18" s="448">
        <f>'Beta Determination'!F3</f>
        <v>0.21</v>
      </c>
      <c r="H18" s="448">
        <f>G18</f>
        <v>0.21</v>
      </c>
    </row>
    <row r="19" spans="2:10" ht="17.25" customHeight="1" x14ac:dyDescent="0.2">
      <c r="B19" s="68" t="s">
        <v>516</v>
      </c>
      <c r="C19" s="68"/>
      <c r="D19" s="68"/>
      <c r="E19" s="68"/>
      <c r="F19" s="68"/>
      <c r="G19" s="451">
        <f>G17*(1-G18)</f>
        <v>3.7130000000000003E-2</v>
      </c>
      <c r="H19" s="451">
        <f>H17*(1-H18)</f>
        <v>3.7130000000000003E-2</v>
      </c>
    </row>
    <row r="20" spans="2:10" ht="17.25" customHeight="1" x14ac:dyDescent="0.2">
      <c r="B20" s="450" t="s">
        <v>517</v>
      </c>
      <c r="C20" s="68"/>
      <c r="D20" s="68"/>
      <c r="E20" s="68"/>
      <c r="F20" s="68"/>
      <c r="G20" s="448">
        <f>1-G14</f>
        <v>9.5945428111978259E-2</v>
      </c>
      <c r="H20" s="448">
        <f>1-H14</f>
        <v>9.5945428111978259E-2</v>
      </c>
    </row>
    <row r="21" spans="2:10" ht="17.25" customHeight="1" x14ac:dyDescent="0.25">
      <c r="B21" s="447" t="s">
        <v>518</v>
      </c>
      <c r="C21" s="447"/>
      <c r="D21" s="447"/>
      <c r="E21" s="447"/>
      <c r="F21" s="447"/>
      <c r="G21" s="452">
        <f>G19*G20</f>
        <v>3.5624537457977531E-3</v>
      </c>
      <c r="H21" s="452">
        <f>H19*H20</f>
        <v>3.5624537457977531E-3</v>
      </c>
    </row>
    <row r="22" spans="2:10" ht="9" customHeight="1" x14ac:dyDescent="0.25">
      <c r="B22" s="447"/>
      <c r="C22" s="447"/>
      <c r="D22" s="447"/>
      <c r="E22" s="447"/>
      <c r="F22" s="447"/>
      <c r="G22" s="453"/>
      <c r="H22" s="453"/>
    </row>
    <row r="23" spans="2:10" ht="17.25" customHeight="1" x14ac:dyDescent="0.25">
      <c r="B23" s="454" t="s">
        <v>519</v>
      </c>
      <c r="C23" s="421"/>
      <c r="D23" s="421"/>
      <c r="E23" s="421"/>
      <c r="F23" s="421"/>
      <c r="G23" s="455">
        <f>G21+G15</f>
        <v>9.5950063688886977E-2</v>
      </c>
      <c r="H23" s="456">
        <f>H21+H15</f>
        <v>0.10952987851110572</v>
      </c>
      <c r="J23" s="85"/>
    </row>
    <row r="24" spans="2:10" ht="17.25" customHeight="1" x14ac:dyDescent="0.2"/>
    <row r="25" spans="2:10" ht="17.25" customHeight="1" x14ac:dyDescent="0.25">
      <c r="B25" s="73" t="s">
        <v>530</v>
      </c>
      <c r="G25" s="86">
        <f>AVERAGE(G23:H23)</f>
        <v>0.10273997109999636</v>
      </c>
    </row>
    <row r="26" spans="2:10" ht="17.25" customHeight="1" x14ac:dyDescent="0.25">
      <c r="B26" s="73" t="s">
        <v>531</v>
      </c>
      <c r="G26" s="336">
        <f>ROUND(G25,1)</f>
        <v>0.1</v>
      </c>
    </row>
    <row r="27" spans="2:10" ht="17.25" customHeight="1" x14ac:dyDescent="0.2">
      <c r="G27" s="85"/>
    </row>
    <row r="28" spans="2:10" ht="17.25" customHeight="1" x14ac:dyDescent="0.25">
      <c r="B28" s="75" t="s">
        <v>522</v>
      </c>
      <c r="C28" s="75"/>
      <c r="D28" s="75"/>
      <c r="E28" s="75"/>
      <c r="F28" s="75"/>
      <c r="G28" s="75"/>
      <c r="H28" s="75"/>
    </row>
    <row r="29" spans="2:10" ht="17.25" customHeight="1" x14ac:dyDescent="0.2">
      <c r="B29" s="1" t="s">
        <v>520</v>
      </c>
      <c r="G29" s="87">
        <f>'Beta Determination'!N69</f>
        <v>0.10612791649469401</v>
      </c>
      <c r="H29" s="87">
        <f>'Beta Determination'!O69</f>
        <v>0.10612791649469401</v>
      </c>
    </row>
    <row r="30" spans="2:10" ht="17.25" customHeight="1" x14ac:dyDescent="0.2">
      <c r="B30" s="1" t="s">
        <v>521</v>
      </c>
      <c r="G30" s="87">
        <f>G29/(1+G29)</f>
        <v>9.5945428111978315E-2</v>
      </c>
      <c r="H30" s="87">
        <f>H29/(1+H29)</f>
        <v>9.5945428111978315E-2</v>
      </c>
    </row>
  </sheetData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34D1E-067A-496D-BC03-866EDB95A565}">
  <sheetPr>
    <tabColor theme="4"/>
  </sheetPr>
  <dimension ref="C3:Q70"/>
  <sheetViews>
    <sheetView topLeftCell="A36" workbookViewId="0">
      <selection activeCell="D44" sqref="D44"/>
    </sheetView>
  </sheetViews>
  <sheetFormatPr defaultRowHeight="14.25" outlineLevelRow="2" x14ac:dyDescent="0.2"/>
  <cols>
    <col min="1" max="8" width="9.140625" style="1"/>
    <col min="9" max="9" width="15.140625" style="1" customWidth="1"/>
    <col min="10" max="10" width="13.140625" style="1" customWidth="1"/>
    <col min="11" max="12" width="11.140625" style="1" customWidth="1"/>
    <col min="13" max="16384" width="9.140625" style="1"/>
  </cols>
  <sheetData>
    <row r="3" spans="3:17" x14ac:dyDescent="0.2">
      <c r="C3" s="141" t="s">
        <v>504</v>
      </c>
      <c r="D3" s="7"/>
      <c r="E3" s="7"/>
      <c r="F3" s="142">
        <v>0.21</v>
      </c>
    </row>
    <row r="6" spans="3:17" ht="15" x14ac:dyDescent="0.25">
      <c r="C6" s="83"/>
      <c r="D6" s="83"/>
      <c r="E6" s="83"/>
      <c r="F6" s="129" t="s">
        <v>487</v>
      </c>
      <c r="G6" s="130"/>
      <c r="H6" s="130"/>
      <c r="I6" s="83"/>
      <c r="J6" s="83"/>
      <c r="K6" s="83"/>
      <c r="L6" s="83"/>
      <c r="M6" s="129" t="s">
        <v>488</v>
      </c>
      <c r="N6" s="130"/>
      <c r="O6" s="130"/>
    </row>
    <row r="7" spans="3:17" ht="62.25" customHeight="1" x14ac:dyDescent="0.2">
      <c r="C7" s="83"/>
      <c r="D7" s="83"/>
      <c r="E7" s="83"/>
      <c r="F7" s="135" t="s">
        <v>632</v>
      </c>
      <c r="G7" s="136"/>
      <c r="H7" s="136"/>
      <c r="I7" s="137" t="s">
        <v>633</v>
      </c>
      <c r="J7" s="137" t="s">
        <v>634</v>
      </c>
      <c r="K7" s="139" t="s">
        <v>489</v>
      </c>
      <c r="L7" s="139"/>
      <c r="M7" s="135" t="s">
        <v>490</v>
      </c>
      <c r="N7" s="136"/>
      <c r="O7" s="136"/>
    </row>
    <row r="8" spans="3:17" ht="15" x14ac:dyDescent="0.25">
      <c r="C8" s="131" t="s">
        <v>478</v>
      </c>
      <c r="D8" s="131"/>
      <c r="E8" s="131"/>
      <c r="F8" s="138" t="s">
        <v>491</v>
      </c>
      <c r="G8" s="138" t="s">
        <v>492</v>
      </c>
      <c r="H8" s="138" t="s">
        <v>493</v>
      </c>
      <c r="I8" s="138"/>
      <c r="J8" s="138"/>
      <c r="K8" s="138" t="s">
        <v>494</v>
      </c>
      <c r="L8" s="138" t="s">
        <v>495</v>
      </c>
      <c r="M8" s="138" t="s">
        <v>491</v>
      </c>
      <c r="N8" s="138" t="s">
        <v>492</v>
      </c>
      <c r="O8" s="138" t="s">
        <v>493</v>
      </c>
      <c r="Q8" s="75" t="s">
        <v>496</v>
      </c>
    </row>
    <row r="9" spans="3:17" ht="5.25" customHeight="1" x14ac:dyDescent="0.2"/>
    <row r="10" spans="3:17" hidden="1" outlineLevel="1" x14ac:dyDescent="0.2">
      <c r="C10" s="1" t="s">
        <v>477</v>
      </c>
      <c r="F10" s="84">
        <v>1.151</v>
      </c>
      <c r="G10" s="476"/>
      <c r="H10" s="476"/>
      <c r="I10" s="64">
        <f>'Comparables Analysis'!F6</f>
        <v>3759.1614789700002</v>
      </c>
      <c r="J10" s="64">
        <f>'TSM (SHLS)'!L17</f>
        <v>276.65499999999997</v>
      </c>
      <c r="K10" s="87">
        <f>J10/I10</f>
        <v>7.359486990588196E-2</v>
      </c>
      <c r="L10" s="87">
        <f>J10/(J10+I10)</f>
        <v>6.8549945578944255E-2</v>
      </c>
      <c r="M10" s="84">
        <f>F10/(1+($K10*(1-($Q10))))</f>
        <v>1.0877578178744924</v>
      </c>
      <c r="N10" s="84">
        <f>G10/(1+($K10*(1-($Q10))))</f>
        <v>0</v>
      </c>
      <c r="O10" s="84">
        <f>H10/(1+($K10*(1-($Q10))))</f>
        <v>0</v>
      </c>
      <c r="Q10" s="140">
        <v>0.21</v>
      </c>
    </row>
    <row r="11" spans="3:17" ht="5.25" hidden="1" customHeight="1" outlineLevel="1" x14ac:dyDescent="0.2">
      <c r="F11" s="84"/>
      <c r="G11" s="84"/>
      <c r="H11" s="84"/>
      <c r="I11" s="64"/>
      <c r="J11" s="64"/>
      <c r="Q11" s="140"/>
    </row>
    <row r="12" spans="3:17" ht="15" hidden="1" outlineLevel="1" x14ac:dyDescent="0.25">
      <c r="C12" s="132" t="s">
        <v>458</v>
      </c>
      <c r="D12" s="132"/>
      <c r="E12" s="132"/>
      <c r="F12" s="133"/>
      <c r="G12" s="133"/>
      <c r="H12" s="133"/>
      <c r="I12" s="134"/>
      <c r="J12" s="134"/>
      <c r="K12" s="132"/>
      <c r="L12" s="132"/>
      <c r="M12" s="132"/>
      <c r="N12" s="132"/>
      <c r="O12" s="132"/>
      <c r="Q12" s="140"/>
    </row>
    <row r="13" spans="3:17" hidden="1" outlineLevel="1" x14ac:dyDescent="0.2">
      <c r="C13" s="1" t="s">
        <v>459</v>
      </c>
      <c r="F13" s="84">
        <v>1.6839999999999999</v>
      </c>
      <c r="G13" s="84">
        <v>0.998</v>
      </c>
      <c r="H13" s="84">
        <v>0.88400000000000001</v>
      </c>
      <c r="I13" s="64">
        <f>'Comparables Analysis'!F9</f>
        <v>2031.4289999999999</v>
      </c>
      <c r="J13" s="64">
        <f>'TSM (Arctech)'!L17+'TSM (Arctech)'!L19</f>
        <v>196.81</v>
      </c>
      <c r="K13" s="87">
        <f>J13/I13</f>
        <v>9.6882539335610557E-2</v>
      </c>
      <c r="L13" s="87">
        <f>J13/(J13+I13)</f>
        <v>8.8325354685920135E-2</v>
      </c>
      <c r="M13" s="84">
        <f t="shared" ref="M13:O15" si="0">F13/(1+($K13*(1-($Q13))))</f>
        <v>1.5699261742517852</v>
      </c>
      <c r="N13" s="84">
        <f t="shared" si="0"/>
        <v>0.9303956780898347</v>
      </c>
      <c r="O13" s="84">
        <f t="shared" si="0"/>
        <v>0.82411801546233854</v>
      </c>
      <c r="Q13" s="140">
        <v>0.25</v>
      </c>
    </row>
    <row r="14" spans="3:17" hidden="1" outlineLevel="1" x14ac:dyDescent="0.2">
      <c r="C14" s="1" t="s">
        <v>461</v>
      </c>
      <c r="F14" s="84">
        <v>1.6870000000000001</v>
      </c>
      <c r="G14" s="84">
        <v>1.663</v>
      </c>
      <c r="H14" s="84">
        <v>1.661</v>
      </c>
      <c r="I14" s="64">
        <f>'Comparables Analysis'!F10</f>
        <v>2437.8289828900001</v>
      </c>
      <c r="J14" s="64">
        <f>'TSM (ARRY)'!L17+'TSM (ARRY)'!L19</f>
        <v>1257.6610000000001</v>
      </c>
      <c r="K14" s="87">
        <f>J14/I14</f>
        <v>0.51589385835796686</v>
      </c>
      <c r="L14" s="87">
        <f>J14/(J14+I14)</f>
        <v>0.34032320634690666</v>
      </c>
      <c r="M14" s="84">
        <f t="shared" si="0"/>
        <v>1.1985312289487426</v>
      </c>
      <c r="N14" s="84">
        <f t="shared" si="0"/>
        <v>1.1814803993727085</v>
      </c>
      <c r="O14" s="84">
        <f t="shared" si="0"/>
        <v>1.1800594969080389</v>
      </c>
      <c r="Q14" s="140">
        <v>0.21</v>
      </c>
    </row>
    <row r="15" spans="3:17" hidden="1" outlineLevel="1" x14ac:dyDescent="0.2">
      <c r="C15" s="1" t="s">
        <v>460</v>
      </c>
      <c r="F15" s="84">
        <v>1.2829999999999999</v>
      </c>
      <c r="G15" s="476">
        <v>1.0740000000000001</v>
      </c>
      <c r="H15" s="476"/>
      <c r="I15" s="64">
        <f>'Comparables Analysis'!F11</f>
        <v>380.17099999999999</v>
      </c>
      <c r="J15" s="64">
        <f>'TSM (Soltec)'!L17+'TSM (Soltec)'!L19</f>
        <v>159.37</v>
      </c>
      <c r="K15" s="87">
        <f>J15/I15</f>
        <v>0.4192060940997604</v>
      </c>
      <c r="L15" s="87">
        <f>J15/(J15+I15)</f>
        <v>0.29538070322737292</v>
      </c>
      <c r="M15" s="84">
        <f t="shared" si="0"/>
        <v>0.97610737874938569</v>
      </c>
      <c r="N15" s="84">
        <f t="shared" si="0"/>
        <v>0.81710001931164489</v>
      </c>
      <c r="O15" s="84">
        <f t="shared" si="0"/>
        <v>0</v>
      </c>
      <c r="Q15" s="140">
        <v>0.25</v>
      </c>
    </row>
    <row r="16" spans="3:17" ht="15" hidden="1" outlineLevel="2" x14ac:dyDescent="0.25">
      <c r="C16" s="89" t="s">
        <v>497</v>
      </c>
      <c r="D16" s="90"/>
      <c r="E16" s="90"/>
      <c r="F16" s="91">
        <f t="shared" ref="F16:O16" si="1">AVERAGE(F13:F15)</f>
        <v>1.5513333333333332</v>
      </c>
      <c r="G16" s="91">
        <f t="shared" si="1"/>
        <v>1.2450000000000001</v>
      </c>
      <c r="H16" s="91">
        <f t="shared" si="1"/>
        <v>1.2725</v>
      </c>
      <c r="I16" s="92">
        <f t="shared" si="1"/>
        <v>1616.47632763</v>
      </c>
      <c r="J16" s="92">
        <f t="shared" si="1"/>
        <v>537.947</v>
      </c>
      <c r="K16" s="93">
        <f t="shared" si="1"/>
        <v>0.3439941639311126</v>
      </c>
      <c r="L16" s="93">
        <f t="shared" si="1"/>
        <v>0.24134308808673324</v>
      </c>
      <c r="M16" s="91">
        <f t="shared" si="1"/>
        <v>1.248188260649971</v>
      </c>
      <c r="N16" s="91">
        <f t="shared" si="1"/>
        <v>0.97632536559139604</v>
      </c>
      <c r="O16" s="94">
        <f t="shared" si="1"/>
        <v>0.66805917079012589</v>
      </c>
      <c r="Q16" s="140"/>
    </row>
    <row r="17" spans="3:17" ht="15" hidden="1" outlineLevel="2" x14ac:dyDescent="0.25">
      <c r="C17" s="95" t="s">
        <v>498</v>
      </c>
      <c r="D17" s="96"/>
      <c r="E17" s="96"/>
      <c r="F17" s="97">
        <f t="shared" ref="F17:O17" si="2">MEDIAN(F13:F15)</f>
        <v>1.6839999999999999</v>
      </c>
      <c r="G17" s="97">
        <f t="shared" si="2"/>
        <v>1.0740000000000001</v>
      </c>
      <c r="H17" s="97">
        <f t="shared" si="2"/>
        <v>1.2725</v>
      </c>
      <c r="I17" s="98">
        <f t="shared" si="2"/>
        <v>2031.4289999999999</v>
      </c>
      <c r="J17" s="98">
        <f t="shared" si="2"/>
        <v>196.81</v>
      </c>
      <c r="K17" s="99">
        <f t="shared" si="2"/>
        <v>0.4192060940997604</v>
      </c>
      <c r="L17" s="99">
        <f t="shared" si="2"/>
        <v>0.29538070322737292</v>
      </c>
      <c r="M17" s="97">
        <f t="shared" si="2"/>
        <v>1.1985312289487426</v>
      </c>
      <c r="N17" s="97">
        <f t="shared" si="2"/>
        <v>0.9303956780898347</v>
      </c>
      <c r="O17" s="100">
        <f t="shared" si="2"/>
        <v>0.82411801546233854</v>
      </c>
      <c r="Q17" s="140"/>
    </row>
    <row r="18" spans="3:17" hidden="1" outlineLevel="2" x14ac:dyDescent="0.2">
      <c r="F18" s="84"/>
      <c r="G18" s="84"/>
      <c r="H18" s="84"/>
      <c r="I18" s="64"/>
      <c r="J18" s="64"/>
      <c r="Q18" s="140"/>
    </row>
    <row r="19" spans="3:17" hidden="1" outlineLevel="2" x14ac:dyDescent="0.2">
      <c r="C19" s="101"/>
      <c r="D19" s="102"/>
      <c r="E19" s="102"/>
      <c r="F19" s="103"/>
      <c r="G19" s="103"/>
      <c r="H19" s="103"/>
      <c r="I19" s="104"/>
      <c r="J19" s="104"/>
      <c r="K19" s="102"/>
      <c r="L19" s="102"/>
      <c r="M19" s="102"/>
      <c r="N19" s="105" t="s">
        <v>502</v>
      </c>
      <c r="O19" s="106" t="s">
        <v>503</v>
      </c>
      <c r="Q19" s="140"/>
    </row>
    <row r="20" spans="3:17" hidden="1" outlineLevel="2" x14ac:dyDescent="0.2">
      <c r="C20" s="107" t="s">
        <v>499</v>
      </c>
      <c r="D20" s="108"/>
      <c r="E20" s="108"/>
      <c r="F20" s="109"/>
      <c r="G20" s="109"/>
      <c r="H20" s="109"/>
      <c r="I20" s="110"/>
      <c r="J20" s="110"/>
      <c r="K20" s="108"/>
      <c r="L20" s="108"/>
      <c r="M20" s="108"/>
      <c r="N20" s="111">
        <f>MIN(M17:O17)</f>
        <v>0.82411801546233854</v>
      </c>
      <c r="O20" s="112">
        <f>MAX(M17:O17)</f>
        <v>1.1985312289487426</v>
      </c>
      <c r="Q20" s="140"/>
    </row>
    <row r="21" spans="3:17" hidden="1" outlineLevel="2" x14ac:dyDescent="0.2">
      <c r="C21" s="107" t="s">
        <v>500</v>
      </c>
      <c r="D21" s="108"/>
      <c r="E21" s="108"/>
      <c r="F21" s="109"/>
      <c r="G21" s="109"/>
      <c r="H21" s="109"/>
      <c r="I21" s="110"/>
      <c r="J21" s="110"/>
      <c r="K21" s="108"/>
      <c r="L21" s="108"/>
      <c r="M21" s="108"/>
      <c r="N21" s="113">
        <f>K17</f>
        <v>0.4192060940997604</v>
      </c>
      <c r="O21" s="114">
        <f>N21</f>
        <v>0.4192060940997604</v>
      </c>
      <c r="Q21" s="140"/>
    </row>
    <row r="22" spans="3:17" hidden="1" outlineLevel="2" x14ac:dyDescent="0.2">
      <c r="C22" s="115" t="s">
        <v>501</v>
      </c>
      <c r="D22" s="116"/>
      <c r="E22" s="116"/>
      <c r="F22" s="117"/>
      <c r="G22" s="117"/>
      <c r="H22" s="117"/>
      <c r="I22" s="118"/>
      <c r="J22" s="118"/>
      <c r="K22" s="116"/>
      <c r="L22" s="116"/>
      <c r="M22" s="116"/>
      <c r="N22" s="119">
        <f>N20*(1+(N21*(1-$F$3)))</f>
        <v>1.0970434979903168</v>
      </c>
      <c r="O22" s="120">
        <f>O20*(1+(O21*(1-$F$3)))</f>
        <v>1.5954521891126512</v>
      </c>
      <c r="Q22" s="140"/>
    </row>
    <row r="23" spans="3:17" ht="5.25" hidden="1" customHeight="1" outlineLevel="1" x14ac:dyDescent="0.2">
      <c r="F23" s="84"/>
      <c r="G23" s="84"/>
      <c r="H23" s="84"/>
      <c r="I23" s="64"/>
      <c r="J23" s="64"/>
      <c r="Q23" s="140"/>
    </row>
    <row r="24" spans="3:17" ht="15" hidden="1" outlineLevel="1" x14ac:dyDescent="0.25">
      <c r="C24" s="132" t="s">
        <v>462</v>
      </c>
      <c r="D24" s="132"/>
      <c r="E24" s="132"/>
      <c r="F24" s="133"/>
      <c r="G24" s="133"/>
      <c r="H24" s="133"/>
      <c r="I24" s="134"/>
      <c r="J24" s="134"/>
      <c r="K24" s="132"/>
      <c r="L24" s="132"/>
      <c r="M24" s="132"/>
      <c r="N24" s="132"/>
      <c r="O24" s="132"/>
      <c r="Q24" s="140"/>
    </row>
    <row r="25" spans="3:17" hidden="1" outlineLevel="1" x14ac:dyDescent="0.2">
      <c r="C25" s="1" t="s">
        <v>463</v>
      </c>
      <c r="F25" s="84">
        <v>1.3660000000000001</v>
      </c>
      <c r="G25" s="84">
        <v>1.488</v>
      </c>
      <c r="H25" s="84">
        <v>1.401</v>
      </c>
      <c r="I25" s="64">
        <f>'Comparables Analysis'!F14</f>
        <v>43406.44530200868</v>
      </c>
      <c r="J25" s="64">
        <f>'TSM (ENPH)'!L17+'TSM (ENPH)'!L20</f>
        <v>1288.2809999999999</v>
      </c>
      <c r="K25" s="87">
        <f>J25/I25</f>
        <v>2.967948633057919E-2</v>
      </c>
      <c r="L25" s="87">
        <f>J25/(J25+I25)</f>
        <v>2.882400467775326E-2</v>
      </c>
      <c r="M25" s="84">
        <f t="shared" ref="M25:O28" si="3">F25/(1+($K25*(1-($Q25))))</f>
        <v>1.3347054363155433</v>
      </c>
      <c r="N25" s="84">
        <f t="shared" si="3"/>
        <v>1.4539104606424071</v>
      </c>
      <c r="O25" s="84">
        <f t="shared" si="3"/>
        <v>1.3689035990322664</v>
      </c>
      <c r="Q25" s="140">
        <v>0.21</v>
      </c>
    </row>
    <row r="26" spans="3:17" hidden="1" outlineLevel="1" x14ac:dyDescent="0.2">
      <c r="C26" s="1" t="s">
        <v>465</v>
      </c>
      <c r="F26" s="84">
        <v>1.266</v>
      </c>
      <c r="G26" s="84">
        <v>1.389</v>
      </c>
      <c r="H26" s="84">
        <v>1.196</v>
      </c>
      <c r="I26" s="64">
        <f>'Comparables Analysis'!F15</f>
        <v>7562.0047163099998</v>
      </c>
      <c r="J26" s="64">
        <f>'TSM (GNRC)'!L17+'TSM (GNRC)'!L20</f>
        <v>1367.684</v>
      </c>
      <c r="K26" s="87">
        <f>J26/I26</f>
        <v>0.18086262192486216</v>
      </c>
      <c r="L26" s="87">
        <f>J26/(J26+I26)</f>
        <v>0.15316144195507475</v>
      </c>
      <c r="M26" s="84">
        <f t="shared" si="3"/>
        <v>1.1077264193784599</v>
      </c>
      <c r="N26" s="84">
        <f t="shared" si="3"/>
        <v>1.215349128370206</v>
      </c>
      <c r="O26" s="84">
        <f t="shared" si="3"/>
        <v>1.0464777232042954</v>
      </c>
      <c r="Q26" s="140">
        <v>0.21</v>
      </c>
    </row>
    <row r="27" spans="3:17" hidden="1" outlineLevel="1" x14ac:dyDescent="0.2">
      <c r="C27" s="1" t="s">
        <v>466</v>
      </c>
      <c r="F27" s="84">
        <v>0.98399999999999999</v>
      </c>
      <c r="G27" s="84">
        <v>1.1759999999999999</v>
      </c>
      <c r="H27" s="84">
        <v>1.161</v>
      </c>
      <c r="I27" s="64">
        <f>'Comparables Analysis'!F16</f>
        <v>1764.1480000000004</v>
      </c>
      <c r="J27" s="64">
        <f>'TSM (SMTGY)'!L17+'TSM (SMTGY)'!L20</f>
        <v>9.51</v>
      </c>
      <c r="K27" s="87">
        <f>J27/I27</f>
        <v>5.3907041812818416E-3</v>
      </c>
      <c r="L27" s="87">
        <f>J27/(J27+I27)</f>
        <v>5.361800301974788E-3</v>
      </c>
      <c r="M27" s="84">
        <f t="shared" si="3"/>
        <v>0.97955514584175662</v>
      </c>
      <c r="N27" s="84">
        <f t="shared" si="3"/>
        <v>1.1706878572255139</v>
      </c>
      <c r="O27" s="84">
        <f t="shared" si="3"/>
        <v>1.155755614148658</v>
      </c>
      <c r="Q27" s="140">
        <v>0.15825</v>
      </c>
    </row>
    <row r="28" spans="3:17" hidden="1" outlineLevel="1" x14ac:dyDescent="0.2">
      <c r="C28" s="1" t="s">
        <v>464</v>
      </c>
      <c r="F28" s="84">
        <v>1.268</v>
      </c>
      <c r="G28" s="84">
        <v>1.194</v>
      </c>
      <c r="H28" s="84">
        <v>1.351</v>
      </c>
      <c r="I28" s="64">
        <f>'Comparables Analysis'!F17</f>
        <v>13341.97546926</v>
      </c>
      <c r="J28" s="64">
        <f>'TSM (SEDG)'!L17+'TSM (SEDG)'!L20</f>
        <v>622.99099999999999</v>
      </c>
      <c r="K28" s="87">
        <f>J28/I28</f>
        <v>4.6694059769138041E-2</v>
      </c>
      <c r="L28" s="87">
        <f>J28/(J28+I28)</f>
        <v>4.4610991467207733E-2</v>
      </c>
      <c r="M28" s="84">
        <f t="shared" si="3"/>
        <v>1.2228896701541025</v>
      </c>
      <c r="N28" s="84">
        <f t="shared" si="3"/>
        <v>1.1515222919274435</v>
      </c>
      <c r="O28" s="84">
        <f t="shared" si="3"/>
        <v>1.3029368646515713</v>
      </c>
      <c r="Q28" s="140">
        <v>0.21</v>
      </c>
    </row>
    <row r="29" spans="3:17" ht="15" hidden="1" outlineLevel="2" x14ac:dyDescent="0.25">
      <c r="C29" s="89" t="s">
        <v>497</v>
      </c>
      <c r="D29" s="90"/>
      <c r="E29" s="90"/>
      <c r="F29" s="91">
        <f t="shared" ref="F29:O29" si="4">AVERAGE(F25:F28)</f>
        <v>1.2210000000000001</v>
      </c>
      <c r="G29" s="91">
        <f t="shared" si="4"/>
        <v>1.31175</v>
      </c>
      <c r="H29" s="91">
        <f t="shared" si="4"/>
        <v>1.27725</v>
      </c>
      <c r="I29" s="92">
        <f t="shared" si="4"/>
        <v>16518.643371894672</v>
      </c>
      <c r="J29" s="92">
        <f t="shared" si="4"/>
        <v>822.11650000000009</v>
      </c>
      <c r="K29" s="93">
        <f t="shared" si="4"/>
        <v>6.5656718051465307E-2</v>
      </c>
      <c r="L29" s="93">
        <f t="shared" si="4"/>
        <v>5.798955960050263E-2</v>
      </c>
      <c r="M29" s="91">
        <f t="shared" si="4"/>
        <v>1.1612191679224655</v>
      </c>
      <c r="N29" s="91">
        <f t="shared" si="4"/>
        <v>1.2478674345413925</v>
      </c>
      <c r="O29" s="94">
        <f t="shared" si="4"/>
        <v>1.2185184502591979</v>
      </c>
    </row>
    <row r="30" spans="3:17" ht="15" hidden="1" outlineLevel="2" x14ac:dyDescent="0.25">
      <c r="C30" s="95" t="s">
        <v>498</v>
      </c>
      <c r="D30" s="96"/>
      <c r="E30" s="96"/>
      <c r="F30" s="97">
        <f t="shared" ref="F30:O30" si="5">MEDIAN(F25:F28)</f>
        <v>1.2669999999999999</v>
      </c>
      <c r="G30" s="97">
        <f t="shared" si="5"/>
        <v>1.2915000000000001</v>
      </c>
      <c r="H30" s="97">
        <f t="shared" si="5"/>
        <v>1.2734999999999999</v>
      </c>
      <c r="I30" s="98">
        <f t="shared" si="5"/>
        <v>10451.990092784999</v>
      </c>
      <c r="J30" s="98">
        <f t="shared" si="5"/>
        <v>955.63599999999997</v>
      </c>
      <c r="K30" s="99">
        <f t="shared" si="5"/>
        <v>3.8186773049858617E-2</v>
      </c>
      <c r="L30" s="99">
        <f t="shared" si="5"/>
        <v>3.6717498072480495E-2</v>
      </c>
      <c r="M30" s="97">
        <f t="shared" si="5"/>
        <v>1.1653080447662814</v>
      </c>
      <c r="N30" s="97">
        <f t="shared" si="5"/>
        <v>1.19301849279786</v>
      </c>
      <c r="O30" s="100">
        <f t="shared" si="5"/>
        <v>1.2293462394001147</v>
      </c>
    </row>
    <row r="31" spans="3:17" hidden="1" outlineLevel="2" x14ac:dyDescent="0.2">
      <c r="F31" s="84"/>
      <c r="G31" s="84"/>
      <c r="H31" s="84"/>
      <c r="I31" s="64"/>
      <c r="J31" s="64"/>
    </row>
    <row r="32" spans="3:17" hidden="1" outlineLevel="2" x14ac:dyDescent="0.2">
      <c r="C32" s="101"/>
      <c r="D32" s="102"/>
      <c r="E32" s="102"/>
      <c r="F32" s="103"/>
      <c r="G32" s="103"/>
      <c r="H32" s="103"/>
      <c r="I32" s="104"/>
      <c r="J32" s="104"/>
      <c r="K32" s="102"/>
      <c r="L32" s="102"/>
      <c r="M32" s="102"/>
      <c r="N32" s="105" t="s">
        <v>502</v>
      </c>
      <c r="O32" s="106" t="s">
        <v>503</v>
      </c>
    </row>
    <row r="33" spans="3:17" hidden="1" outlineLevel="2" x14ac:dyDescent="0.2">
      <c r="C33" s="107" t="s">
        <v>499</v>
      </c>
      <c r="D33" s="108"/>
      <c r="E33" s="108"/>
      <c r="F33" s="109"/>
      <c r="G33" s="109"/>
      <c r="H33" s="109"/>
      <c r="I33" s="110"/>
      <c r="J33" s="110"/>
      <c r="K33" s="108"/>
      <c r="L33" s="108"/>
      <c r="M33" s="108"/>
      <c r="N33" s="111">
        <f>MIN(M30:O30)</f>
        <v>1.1653080447662814</v>
      </c>
      <c r="O33" s="112">
        <f>MAX(M30:O30)</f>
        <v>1.2293462394001147</v>
      </c>
    </row>
    <row r="34" spans="3:17" hidden="1" outlineLevel="2" x14ac:dyDescent="0.2">
      <c r="C34" s="107" t="s">
        <v>500</v>
      </c>
      <c r="D34" s="108"/>
      <c r="E34" s="108"/>
      <c r="F34" s="109"/>
      <c r="G34" s="109"/>
      <c r="H34" s="109"/>
      <c r="I34" s="110"/>
      <c r="J34" s="110"/>
      <c r="K34" s="108"/>
      <c r="L34" s="108"/>
      <c r="M34" s="108"/>
      <c r="N34" s="113">
        <f>K30</f>
        <v>3.8186773049858617E-2</v>
      </c>
      <c r="O34" s="114">
        <f>N34</f>
        <v>3.8186773049858617E-2</v>
      </c>
    </row>
    <row r="35" spans="3:17" hidden="1" outlineLevel="2" x14ac:dyDescent="0.2">
      <c r="C35" s="115" t="s">
        <v>501</v>
      </c>
      <c r="D35" s="116"/>
      <c r="E35" s="116"/>
      <c r="F35" s="117"/>
      <c r="G35" s="117"/>
      <c r="H35" s="117"/>
      <c r="I35" s="118"/>
      <c r="J35" s="118"/>
      <c r="K35" s="116"/>
      <c r="L35" s="116"/>
      <c r="M35" s="116"/>
      <c r="N35" s="119">
        <f>N33*(1+(N34*(1-$F$3)))</f>
        <v>1.2004625342988264</v>
      </c>
      <c r="O35" s="120">
        <f>O33*(1+(O34*(1-$F$3)))</f>
        <v>1.2664326044166134</v>
      </c>
    </row>
    <row r="36" spans="3:17" s="125" customFormat="1" ht="5.25" customHeight="1" collapsed="1" x14ac:dyDescent="0.2">
      <c r="C36" s="121"/>
      <c r="D36" s="121"/>
      <c r="E36" s="121"/>
      <c r="F36" s="122"/>
      <c r="G36" s="122"/>
      <c r="H36" s="122"/>
      <c r="I36" s="123"/>
      <c r="J36" s="123"/>
      <c r="K36" s="121"/>
      <c r="L36" s="121"/>
      <c r="M36" s="121"/>
      <c r="N36" s="124"/>
      <c r="O36" s="124"/>
    </row>
    <row r="37" spans="3:17" ht="15" hidden="1" outlineLevel="1" x14ac:dyDescent="0.25">
      <c r="C37" s="132" t="s">
        <v>467</v>
      </c>
      <c r="D37" s="132"/>
      <c r="E37" s="132"/>
      <c r="F37" s="133"/>
      <c r="G37" s="133"/>
      <c r="H37" s="133"/>
      <c r="I37" s="134"/>
      <c r="J37" s="134"/>
      <c r="K37" s="132"/>
      <c r="L37" s="132"/>
      <c r="M37" s="132"/>
      <c r="N37" s="132"/>
      <c r="O37" s="132"/>
    </row>
    <row r="38" spans="3:17" hidden="1" outlineLevel="1" x14ac:dyDescent="0.2">
      <c r="C38" s="1" t="s">
        <v>469</v>
      </c>
      <c r="F38" s="84">
        <v>0.93700000000000006</v>
      </c>
      <c r="G38" s="84">
        <v>1.179</v>
      </c>
      <c r="H38" s="84">
        <v>1.0920000000000001</v>
      </c>
      <c r="I38" s="64">
        <f>'Comparables Analysis'!F20</f>
        <v>2162.71365947</v>
      </c>
      <c r="J38" s="64">
        <f>'TSM (CSIQ)'!L17+'TSM (CSIQ)'!L19</f>
        <v>3222.36</v>
      </c>
      <c r="K38" s="87">
        <f>J38/I38</f>
        <v>1.4899614592482298</v>
      </c>
      <c r="L38" s="87">
        <f>J38/(J38+I38)</f>
        <v>0.59838735805094734</v>
      </c>
      <c r="M38" s="84">
        <f t="shared" ref="M38:O41" si="6">F38/(1+($K38*(1-($Q38))))</f>
        <v>0.43039506881728595</v>
      </c>
      <c r="N38" s="84">
        <f t="shared" si="6"/>
        <v>0.54155366716710795</v>
      </c>
      <c r="O38" s="84">
        <f t="shared" si="6"/>
        <v>0.5015916917272959</v>
      </c>
      <c r="Q38" s="33">
        <v>0.21</v>
      </c>
    </row>
    <row r="39" spans="3:17" hidden="1" outlineLevel="1" x14ac:dyDescent="0.2">
      <c r="C39" s="1" t="s">
        <v>470</v>
      </c>
      <c r="F39" s="84">
        <v>1.0720000000000001</v>
      </c>
      <c r="G39" s="84">
        <v>1.0329999999999999</v>
      </c>
      <c r="H39" s="84">
        <v>1.0569999999999999</v>
      </c>
      <c r="I39" s="64">
        <f>'Comparables Analysis'!F21</f>
        <v>14318.074094899999</v>
      </c>
      <c r="J39" s="64">
        <f>'TSM (FSLR)'!L17+'TSM (FSLR)'!L20</f>
        <v>259.65899999999999</v>
      </c>
      <c r="K39" s="87">
        <f>J39/I39</f>
        <v>1.8135050725326864E-2</v>
      </c>
      <c r="L39" s="87">
        <f>J39/(J39+I39)</f>
        <v>1.781202868166391E-2</v>
      </c>
      <c r="M39" s="84">
        <f t="shared" si="6"/>
        <v>1.0568587127711693</v>
      </c>
      <c r="N39" s="84">
        <f t="shared" si="6"/>
        <v>1.0184095618401283</v>
      </c>
      <c r="O39" s="84">
        <f t="shared" si="6"/>
        <v>1.042070577797692</v>
      </c>
      <c r="Q39" s="33">
        <v>0.21</v>
      </c>
    </row>
    <row r="40" spans="3:17" hidden="1" outlineLevel="1" x14ac:dyDescent="0.2">
      <c r="C40" s="1" t="s">
        <v>468</v>
      </c>
      <c r="F40" s="84">
        <v>0.94199999999999995</v>
      </c>
      <c r="G40" s="84">
        <v>0.94199999999999995</v>
      </c>
      <c r="H40" s="84">
        <v>0.94199999999999995</v>
      </c>
      <c r="I40" s="64">
        <f>'Comparables Analysis'!F22</f>
        <v>2302.5128</v>
      </c>
      <c r="J40" s="64">
        <f>'TSM (JKS)'!L17+'TSM (JKS)'!L20</f>
        <v>7621.91</v>
      </c>
      <c r="K40" s="87">
        <f>J40/I40</f>
        <v>3.3102573848883705</v>
      </c>
      <c r="L40" s="87">
        <f>J40/(J40+I40)</f>
        <v>0.76799529338874994</v>
      </c>
      <c r="M40" s="84">
        <f t="shared" si="6"/>
        <v>0.26057346442199741</v>
      </c>
      <c r="N40" s="84">
        <f t="shared" si="6"/>
        <v>0.26057346442199741</v>
      </c>
      <c r="O40" s="84">
        <f t="shared" si="6"/>
        <v>0.26057346442199741</v>
      </c>
      <c r="Q40" s="33">
        <v>0.21</v>
      </c>
    </row>
    <row r="41" spans="3:17" hidden="1" outlineLevel="1" x14ac:dyDescent="0.2">
      <c r="C41" s="1" t="s">
        <v>471</v>
      </c>
      <c r="F41" s="84">
        <v>1.0649999999999999</v>
      </c>
      <c r="G41" s="84">
        <v>1.359</v>
      </c>
      <c r="H41" s="84">
        <v>1.4630000000000001</v>
      </c>
      <c r="I41" s="64">
        <f>'Comparables Analysis'!F23</f>
        <v>751.11899579999999</v>
      </c>
      <c r="J41" s="64">
        <f>'TSM (MAXN)'!L17+'TSM (MAXN)'!L20</f>
        <v>241.21699999999998</v>
      </c>
      <c r="K41" s="87">
        <f>J41/I41</f>
        <v>0.32114352232975441</v>
      </c>
      <c r="L41" s="87">
        <f>J41/(J41+I41)</f>
        <v>0.24307996587943584</v>
      </c>
      <c r="M41" s="84">
        <f t="shared" si="6"/>
        <v>0.84948323083960608</v>
      </c>
      <c r="N41" s="84">
        <f t="shared" si="6"/>
        <v>1.0839884607615256</v>
      </c>
      <c r="O41" s="84">
        <f t="shared" si="6"/>
        <v>1.1669426917543135</v>
      </c>
      <c r="Q41" s="33">
        <v>0.21</v>
      </c>
    </row>
    <row r="42" spans="3:17" ht="15" hidden="1" outlineLevel="2" x14ac:dyDescent="0.25">
      <c r="C42" s="89" t="s">
        <v>497</v>
      </c>
      <c r="D42" s="90"/>
      <c r="E42" s="90"/>
      <c r="F42" s="91">
        <f t="shared" ref="F42:O42" si="7">AVERAGE(F38:F41)</f>
        <v>1.004</v>
      </c>
      <c r="G42" s="91">
        <f t="shared" si="7"/>
        <v>1.12825</v>
      </c>
      <c r="H42" s="91">
        <f t="shared" si="7"/>
        <v>1.1385000000000001</v>
      </c>
      <c r="I42" s="92">
        <f t="shared" si="7"/>
        <v>4883.6048875424995</v>
      </c>
      <c r="J42" s="92">
        <f t="shared" si="7"/>
        <v>2836.2865000000002</v>
      </c>
      <c r="K42" s="93">
        <f t="shared" si="7"/>
        <v>1.2848743542979204</v>
      </c>
      <c r="L42" s="93">
        <f t="shared" si="7"/>
        <v>0.40681866150019924</v>
      </c>
      <c r="M42" s="91">
        <f t="shared" si="7"/>
        <v>0.6493276192125147</v>
      </c>
      <c r="N42" s="91">
        <f t="shared" si="7"/>
        <v>0.72613128854768982</v>
      </c>
      <c r="O42" s="94">
        <f t="shared" si="7"/>
        <v>0.7427946064253248</v>
      </c>
    </row>
    <row r="43" spans="3:17" ht="15" hidden="1" outlineLevel="2" x14ac:dyDescent="0.25">
      <c r="C43" s="95" t="s">
        <v>498</v>
      </c>
      <c r="D43" s="96"/>
      <c r="E43" s="96"/>
      <c r="F43" s="97">
        <f t="shared" ref="F43:O43" si="8">MEDIAN(F38:F41)</f>
        <v>1.0034999999999998</v>
      </c>
      <c r="G43" s="97">
        <f t="shared" si="8"/>
        <v>1.1059999999999999</v>
      </c>
      <c r="H43" s="97">
        <f t="shared" si="8"/>
        <v>1.0745</v>
      </c>
      <c r="I43" s="98">
        <f t="shared" si="8"/>
        <v>2232.613229735</v>
      </c>
      <c r="J43" s="98">
        <f t="shared" si="8"/>
        <v>1741.0095000000001</v>
      </c>
      <c r="K43" s="99">
        <f t="shared" si="8"/>
        <v>0.90555249078899214</v>
      </c>
      <c r="L43" s="99">
        <f t="shared" si="8"/>
        <v>0.42073366196519157</v>
      </c>
      <c r="M43" s="97">
        <f t="shared" si="8"/>
        <v>0.63993914982844602</v>
      </c>
      <c r="N43" s="97">
        <f t="shared" si="8"/>
        <v>0.77998161450361814</v>
      </c>
      <c r="O43" s="100">
        <f t="shared" si="8"/>
        <v>0.77183113476249399</v>
      </c>
    </row>
    <row r="44" spans="3:17" ht="15" hidden="1" outlineLevel="2" x14ac:dyDescent="0.25">
      <c r="C44" s="22"/>
      <c r="D44" s="22"/>
      <c r="E44" s="22"/>
      <c r="F44" s="126"/>
      <c r="G44" s="126"/>
      <c r="H44" s="126"/>
      <c r="I44" s="127"/>
      <c r="J44" s="127"/>
      <c r="K44" s="128"/>
      <c r="L44" s="128"/>
      <c r="M44" s="126"/>
      <c r="N44" s="126"/>
      <c r="O44" s="126"/>
    </row>
    <row r="45" spans="3:17" hidden="1" outlineLevel="2" x14ac:dyDescent="0.2">
      <c r="C45" s="101"/>
      <c r="D45" s="102"/>
      <c r="E45" s="102"/>
      <c r="F45" s="103"/>
      <c r="G45" s="103"/>
      <c r="H45" s="103"/>
      <c r="I45" s="104"/>
      <c r="J45" s="104"/>
      <c r="K45" s="102"/>
      <c r="L45" s="102"/>
      <c r="M45" s="102"/>
      <c r="N45" s="105" t="s">
        <v>502</v>
      </c>
      <c r="O45" s="106" t="s">
        <v>503</v>
      </c>
    </row>
    <row r="46" spans="3:17" hidden="1" outlineLevel="2" x14ac:dyDescent="0.2">
      <c r="C46" s="107" t="s">
        <v>499</v>
      </c>
      <c r="D46" s="108"/>
      <c r="E46" s="108"/>
      <c r="F46" s="109"/>
      <c r="G46" s="109"/>
      <c r="H46" s="109"/>
      <c r="I46" s="110"/>
      <c r="J46" s="110"/>
      <c r="K46" s="108"/>
      <c r="L46" s="108"/>
      <c r="M46" s="108"/>
      <c r="N46" s="111">
        <f>MIN(M43:O43)</f>
        <v>0.63993914982844602</v>
      </c>
      <c r="O46" s="112">
        <f>MAX(M43:O43)</f>
        <v>0.77998161450361814</v>
      </c>
    </row>
    <row r="47" spans="3:17" hidden="1" outlineLevel="2" x14ac:dyDescent="0.2">
      <c r="C47" s="107" t="s">
        <v>500</v>
      </c>
      <c r="D47" s="108"/>
      <c r="E47" s="108"/>
      <c r="F47" s="109"/>
      <c r="G47" s="109"/>
      <c r="H47" s="109"/>
      <c r="I47" s="110"/>
      <c r="J47" s="110"/>
      <c r="K47" s="108"/>
      <c r="L47" s="108"/>
      <c r="M47" s="108"/>
      <c r="N47" s="113">
        <f>K43</f>
        <v>0.90555249078899214</v>
      </c>
      <c r="O47" s="114">
        <f>N47</f>
        <v>0.90555249078899214</v>
      </c>
    </row>
    <row r="48" spans="3:17" hidden="1" outlineLevel="2" x14ac:dyDescent="0.2">
      <c r="C48" s="115" t="s">
        <v>501</v>
      </c>
      <c r="D48" s="116"/>
      <c r="E48" s="116"/>
      <c r="F48" s="117"/>
      <c r="G48" s="117"/>
      <c r="H48" s="117"/>
      <c r="I48" s="118"/>
      <c r="J48" s="118"/>
      <c r="K48" s="116"/>
      <c r="L48" s="116"/>
      <c r="M48" s="116"/>
      <c r="N48" s="119">
        <f>N46*(1+(N47*(1-$F$3)))</f>
        <v>1.0977429577820721</v>
      </c>
      <c r="O48" s="120">
        <f>O46*(1+(O47*(1-$F$3)))</f>
        <v>1.3379699065924811</v>
      </c>
    </row>
    <row r="49" spans="3:17" s="125" customFormat="1" ht="5.25" hidden="1" customHeight="1" outlineLevel="1" x14ac:dyDescent="0.2">
      <c r="C49" s="121"/>
      <c r="D49" s="121"/>
      <c r="E49" s="121"/>
      <c r="F49" s="122"/>
      <c r="G49" s="122"/>
      <c r="H49" s="122"/>
      <c r="I49" s="123"/>
      <c r="J49" s="123"/>
      <c r="K49" s="121"/>
      <c r="L49" s="121"/>
      <c r="M49" s="121"/>
      <c r="N49" s="124"/>
      <c r="O49" s="124"/>
    </row>
    <row r="50" spans="3:17" ht="15" hidden="1" outlineLevel="1" x14ac:dyDescent="0.25">
      <c r="C50" s="132" t="s">
        <v>472</v>
      </c>
      <c r="D50" s="132"/>
      <c r="E50" s="132"/>
      <c r="F50" s="133"/>
      <c r="G50" s="133"/>
      <c r="H50" s="133"/>
      <c r="I50" s="134"/>
      <c r="J50" s="134"/>
      <c r="K50" s="132"/>
      <c r="L50" s="132"/>
      <c r="M50" s="132"/>
      <c r="N50" s="132"/>
      <c r="O50" s="132"/>
    </row>
    <row r="51" spans="3:17" hidden="1" outlineLevel="1" x14ac:dyDescent="0.2">
      <c r="C51" s="1" t="s">
        <v>473</v>
      </c>
      <c r="F51" s="476">
        <v>1.0309999999999999</v>
      </c>
      <c r="G51" s="476">
        <v>1.04</v>
      </c>
      <c r="H51" s="476">
        <v>1.07</v>
      </c>
      <c r="I51" s="64">
        <f>'Comparables Analysis'!F26</f>
        <v>47619.388777740001</v>
      </c>
      <c r="J51" s="64">
        <f>'TSM (APH)'!L17+'TSM (APH)'!L20</f>
        <v>4753.2</v>
      </c>
      <c r="K51" s="87">
        <f>J51/I51</f>
        <v>9.9816484881509335E-2</v>
      </c>
      <c r="L51" s="87">
        <f>J51/(J51+I51)</f>
        <v>9.0757400215057918E-2</v>
      </c>
      <c r="M51" s="84">
        <f t="shared" ref="M51:O53" si="9">F51/(1+($K51*(1-($Q51))))</f>
        <v>0.95564276753254629</v>
      </c>
      <c r="N51" s="84">
        <f t="shared" si="9"/>
        <v>0.96398494494068698</v>
      </c>
      <c r="O51" s="84">
        <f t="shared" si="9"/>
        <v>0.99179220296782211</v>
      </c>
      <c r="Q51" s="33">
        <v>0.21</v>
      </c>
    </row>
    <row r="52" spans="3:17" hidden="1" outlineLevel="1" x14ac:dyDescent="0.2">
      <c r="C52" s="1" t="s">
        <v>475</v>
      </c>
      <c r="F52" s="476">
        <v>0.95499999999999996</v>
      </c>
      <c r="G52" s="476">
        <v>0.98299999999999998</v>
      </c>
      <c r="H52" s="476">
        <v>1.111</v>
      </c>
      <c r="I52" s="64">
        <f>'Comparables Analysis'!F27</f>
        <v>60319.808000000005</v>
      </c>
      <c r="J52" s="64">
        <f>'TSM (ETN)'!L17+'TSM (ETN)'!L20</f>
        <v>9699</v>
      </c>
      <c r="K52" s="87">
        <f>J52/I52</f>
        <v>0.16079295212610756</v>
      </c>
      <c r="L52" s="87">
        <f>J52/(J52+I52)</f>
        <v>0.1385199245322771</v>
      </c>
      <c r="M52" s="84">
        <f t="shared" si="9"/>
        <v>0.84736255755161594</v>
      </c>
      <c r="N52" s="84">
        <f t="shared" si="9"/>
        <v>0.87220669536464768</v>
      </c>
      <c r="O52" s="84">
        <f t="shared" si="9"/>
        <v>0.98577989679564959</v>
      </c>
      <c r="Q52" s="33">
        <v>0.21</v>
      </c>
    </row>
    <row r="53" spans="3:17" hidden="1" outlineLevel="1" x14ac:dyDescent="0.2">
      <c r="C53" s="1" t="s">
        <v>474</v>
      </c>
      <c r="F53" s="476">
        <v>1.0409999999999999</v>
      </c>
      <c r="G53" s="476">
        <v>1.075</v>
      </c>
      <c r="H53" s="476">
        <v>1.1639999999999999</v>
      </c>
      <c r="I53" s="64">
        <f>'Comparables Analysis'!F28</f>
        <v>39593.729329550006</v>
      </c>
      <c r="J53" s="64">
        <f>'TSM (TEL)'!L17+'TSM (TEL)'!L20</f>
        <v>4202</v>
      </c>
      <c r="K53" s="87">
        <f>J53/I53</f>
        <v>0.10612791649469401</v>
      </c>
      <c r="L53" s="87">
        <f>J53/(J53+I53)</f>
        <v>9.5945428111978301E-2</v>
      </c>
      <c r="M53" s="84">
        <f t="shared" si="9"/>
        <v>0.96047293662527145</v>
      </c>
      <c r="N53" s="84">
        <f t="shared" si="9"/>
        <v>0.9918428500212938</v>
      </c>
      <c r="O53" s="84">
        <f t="shared" si="9"/>
        <v>1.0739582115579405</v>
      </c>
      <c r="Q53" s="33">
        <v>0.21</v>
      </c>
    </row>
    <row r="54" spans="3:17" ht="15" hidden="1" outlineLevel="2" x14ac:dyDescent="0.25">
      <c r="C54" s="89" t="s">
        <v>497</v>
      </c>
      <c r="D54" s="90"/>
      <c r="E54" s="90"/>
      <c r="F54" s="91">
        <f>AVERAGE(F51:F53)</f>
        <v>1.0089999999999999</v>
      </c>
      <c r="G54" s="91">
        <f t="shared" ref="G54:O54" si="10">AVERAGE(G51:G53)</f>
        <v>1.0326666666666666</v>
      </c>
      <c r="H54" s="91">
        <f t="shared" si="10"/>
        <v>1.115</v>
      </c>
      <c r="I54" s="92">
        <f t="shared" si="10"/>
        <v>49177.642035763332</v>
      </c>
      <c r="J54" s="92">
        <f t="shared" si="10"/>
        <v>6218.0666666666666</v>
      </c>
      <c r="K54" s="93">
        <f t="shared" si="10"/>
        <v>0.1222457845007703</v>
      </c>
      <c r="L54" s="93">
        <f t="shared" si="10"/>
        <v>0.10840758428643778</v>
      </c>
      <c r="M54" s="91">
        <f t="shared" si="10"/>
        <v>0.92115942056981126</v>
      </c>
      <c r="N54" s="91">
        <f t="shared" si="10"/>
        <v>0.94267816344220945</v>
      </c>
      <c r="O54" s="94">
        <f t="shared" si="10"/>
        <v>1.0171767704404706</v>
      </c>
    </row>
    <row r="55" spans="3:17" ht="15" hidden="1" outlineLevel="2" x14ac:dyDescent="0.25">
      <c r="C55" s="95" t="s">
        <v>498</v>
      </c>
      <c r="D55" s="96"/>
      <c r="E55" s="96"/>
      <c r="F55" s="97">
        <f>MEDIAN(F51:F53)</f>
        <v>1.0309999999999999</v>
      </c>
      <c r="G55" s="97">
        <f t="shared" ref="G55:O55" si="11">MEDIAN(G51:G53)</f>
        <v>1.04</v>
      </c>
      <c r="H55" s="97">
        <f t="shared" si="11"/>
        <v>1.111</v>
      </c>
      <c r="I55" s="98">
        <f t="shared" si="11"/>
        <v>47619.388777740001</v>
      </c>
      <c r="J55" s="98">
        <f t="shared" si="11"/>
        <v>4753.2</v>
      </c>
      <c r="K55" s="99">
        <f t="shared" si="11"/>
        <v>0.10612791649469401</v>
      </c>
      <c r="L55" s="99">
        <f t="shared" si="11"/>
        <v>9.5945428111978301E-2</v>
      </c>
      <c r="M55" s="97">
        <f t="shared" si="11"/>
        <v>0.95564276753254629</v>
      </c>
      <c r="N55" s="97">
        <f t="shared" si="11"/>
        <v>0.96398494494068698</v>
      </c>
      <c r="O55" s="100">
        <f t="shared" si="11"/>
        <v>0.99179220296782211</v>
      </c>
    </row>
    <row r="56" spans="3:17" hidden="1" outlineLevel="2" x14ac:dyDescent="0.2"/>
    <row r="57" spans="3:17" hidden="1" outlineLevel="2" x14ac:dyDescent="0.2">
      <c r="C57" s="101"/>
      <c r="D57" s="102"/>
      <c r="E57" s="102"/>
      <c r="F57" s="103"/>
      <c r="G57" s="103"/>
      <c r="H57" s="103"/>
      <c r="I57" s="104"/>
      <c r="J57" s="104"/>
      <c r="K57" s="102"/>
      <c r="L57" s="102"/>
      <c r="M57" s="102"/>
      <c r="N57" s="105" t="s">
        <v>502</v>
      </c>
      <c r="O57" s="106" t="s">
        <v>503</v>
      </c>
    </row>
    <row r="58" spans="3:17" hidden="1" outlineLevel="2" x14ac:dyDescent="0.2">
      <c r="C58" s="107" t="s">
        <v>499</v>
      </c>
      <c r="D58" s="108"/>
      <c r="E58" s="108"/>
      <c r="F58" s="109"/>
      <c r="G58" s="109"/>
      <c r="H58" s="109"/>
      <c r="I58" s="110"/>
      <c r="J58" s="110"/>
      <c r="K58" s="108"/>
      <c r="L58" s="108"/>
      <c r="M58" s="108"/>
      <c r="N58" s="111">
        <f>MIN(M55:O55)</f>
        <v>0.95564276753254629</v>
      </c>
      <c r="O58" s="112">
        <f>MAX(M55:O55)</f>
        <v>0.99179220296782211</v>
      </c>
    </row>
    <row r="59" spans="3:17" hidden="1" outlineLevel="2" x14ac:dyDescent="0.2">
      <c r="C59" s="107" t="s">
        <v>500</v>
      </c>
      <c r="D59" s="108"/>
      <c r="E59" s="108"/>
      <c r="F59" s="109"/>
      <c r="G59" s="109"/>
      <c r="H59" s="109"/>
      <c r="I59" s="110"/>
      <c r="J59" s="110"/>
      <c r="K59" s="108"/>
      <c r="L59" s="108"/>
      <c r="M59" s="108"/>
      <c r="N59" s="113">
        <f>K55</f>
        <v>0.10612791649469401</v>
      </c>
      <c r="O59" s="114">
        <f>N59</f>
        <v>0.10612791649469401</v>
      </c>
    </row>
    <row r="60" spans="3:17" hidden="1" outlineLevel="2" x14ac:dyDescent="0.2">
      <c r="C60" s="115" t="s">
        <v>501</v>
      </c>
      <c r="D60" s="116"/>
      <c r="E60" s="116"/>
      <c r="F60" s="117"/>
      <c r="G60" s="117"/>
      <c r="H60" s="117"/>
      <c r="I60" s="118"/>
      <c r="J60" s="118"/>
      <c r="K60" s="116"/>
      <c r="L60" s="116"/>
      <c r="M60" s="116"/>
      <c r="N60" s="119">
        <f>N58*(1+(N59*(1-$F$3)))</f>
        <v>1.0357648644393938</v>
      </c>
      <c r="O60" s="120">
        <f>O58*(1+(O59*(1-$F$3)))</f>
        <v>1.0749451066441817</v>
      </c>
    </row>
    <row r="61" spans="3:17" ht="5.25" customHeight="1" collapsed="1" x14ac:dyDescent="0.2"/>
    <row r="62" spans="3:17" ht="15" x14ac:dyDescent="0.25">
      <c r="C62" s="132" t="s">
        <v>505</v>
      </c>
      <c r="D62" s="132"/>
      <c r="E62" s="132"/>
      <c r="F62" s="133"/>
      <c r="G62" s="133"/>
      <c r="H62" s="133"/>
      <c r="I62" s="134"/>
      <c r="J62" s="134"/>
      <c r="K62" s="132"/>
      <c r="L62" s="132"/>
      <c r="M62" s="132"/>
      <c r="N62" s="132"/>
      <c r="O62" s="132"/>
    </row>
    <row r="63" spans="3:17" ht="5.25" customHeight="1" x14ac:dyDescent="0.2"/>
    <row r="64" spans="3:17" ht="15" x14ac:dyDescent="0.25">
      <c r="C64" s="89" t="s">
        <v>497</v>
      </c>
      <c r="D64" s="90"/>
      <c r="E64" s="90"/>
      <c r="F64" s="91">
        <f t="shared" ref="F64:O64" si="12">AVERAGE(F10,F13,F14,F15,F25,F26,F27,F28,F38,F39,F40,F41,F51,F52,F53)</f>
        <v>1.1821333333333333</v>
      </c>
      <c r="G64" s="91">
        <f t="shared" si="12"/>
        <v>1.1852142857142858</v>
      </c>
      <c r="H64" s="91">
        <f t="shared" si="12"/>
        <v>1.1963846153846154</v>
      </c>
      <c r="I64" s="92">
        <f t="shared" si="12"/>
        <v>16116.700640459914</v>
      </c>
      <c r="J64" s="92">
        <f t="shared" si="12"/>
        <v>2345.2205333333336</v>
      </c>
      <c r="K64" s="93">
        <f t="shared" si="12"/>
        <v>0.45829593363993826</v>
      </c>
      <c r="L64" s="93">
        <f t="shared" si="12"/>
        <v>0.19846898980675098</v>
      </c>
      <c r="M64" s="91">
        <f t="shared" si="12"/>
        <v>0.98919920067158396</v>
      </c>
      <c r="N64" s="91">
        <f t="shared" si="12"/>
        <v>0.9102003652971431</v>
      </c>
      <c r="O64" s="94">
        <f t="shared" si="12"/>
        <v>0.86006400336199207</v>
      </c>
    </row>
    <row r="65" spans="3:15" ht="15" x14ac:dyDescent="0.25">
      <c r="C65" s="95" t="s">
        <v>498</v>
      </c>
      <c r="D65" s="96"/>
      <c r="E65" s="96"/>
      <c r="F65" s="97">
        <f t="shared" ref="F65:O65" si="13">MEDIAN(F10,F13,F14,F15,F25,F26,F27,F28,F38,F39,F40,F41,F51,F52,F53)</f>
        <v>1.0720000000000001</v>
      </c>
      <c r="G65" s="97">
        <f t="shared" si="13"/>
        <v>1.1254999999999999</v>
      </c>
      <c r="H65" s="97">
        <f t="shared" si="13"/>
        <v>1.161</v>
      </c>
      <c r="I65" s="98">
        <f t="shared" si="13"/>
        <v>3759.1614789700002</v>
      </c>
      <c r="J65" s="98">
        <f t="shared" si="13"/>
        <v>1257.6610000000001</v>
      </c>
      <c r="K65" s="99">
        <f t="shared" si="13"/>
        <v>0.10612791649469401</v>
      </c>
      <c r="L65" s="99">
        <f t="shared" si="13"/>
        <v>9.5945428111978301E-2</v>
      </c>
      <c r="M65" s="97">
        <f t="shared" si="13"/>
        <v>0.97955514584175662</v>
      </c>
      <c r="N65" s="97">
        <f t="shared" si="13"/>
        <v>0.9918428500212938</v>
      </c>
      <c r="O65" s="100">
        <f t="shared" si="13"/>
        <v>1.042070577797692</v>
      </c>
    </row>
    <row r="66" spans="3:15" ht="5.25" customHeight="1" x14ac:dyDescent="0.2"/>
    <row r="67" spans="3:15" x14ac:dyDescent="0.2">
      <c r="C67" s="101"/>
      <c r="D67" s="102"/>
      <c r="E67" s="102"/>
      <c r="F67" s="103"/>
      <c r="G67" s="103"/>
      <c r="H67" s="103"/>
      <c r="I67" s="104"/>
      <c r="J67" s="104"/>
      <c r="K67" s="102"/>
      <c r="L67" s="102"/>
      <c r="M67" s="102"/>
      <c r="N67" s="105" t="s">
        <v>502</v>
      </c>
      <c r="O67" s="106" t="s">
        <v>503</v>
      </c>
    </row>
    <row r="68" spans="3:15" x14ac:dyDescent="0.2">
      <c r="C68" s="107" t="s">
        <v>499</v>
      </c>
      <c r="D68" s="108"/>
      <c r="E68" s="108"/>
      <c r="F68" s="109"/>
      <c r="G68" s="109"/>
      <c r="H68" s="109"/>
      <c r="I68" s="110"/>
      <c r="J68" s="110"/>
      <c r="K68" s="108"/>
      <c r="L68" s="108"/>
      <c r="M68" s="108"/>
      <c r="N68" s="111">
        <f>MIN(M65:O65)</f>
        <v>0.97955514584175662</v>
      </c>
      <c r="O68" s="112">
        <f>MAX(M65:O65)</f>
        <v>1.042070577797692</v>
      </c>
    </row>
    <row r="69" spans="3:15" x14ac:dyDescent="0.2">
      <c r="C69" s="107" t="s">
        <v>500</v>
      </c>
      <c r="D69" s="108"/>
      <c r="E69" s="108"/>
      <c r="F69" s="109"/>
      <c r="G69" s="109"/>
      <c r="H69" s="109"/>
      <c r="I69" s="110"/>
      <c r="J69" s="110"/>
      <c r="K69" s="108"/>
      <c r="L69" s="108"/>
      <c r="M69" s="108"/>
      <c r="N69" s="113">
        <f>K65</f>
        <v>0.10612791649469401</v>
      </c>
      <c r="O69" s="114">
        <f>N69</f>
        <v>0.10612791649469401</v>
      </c>
    </row>
    <row r="70" spans="3:15" x14ac:dyDescent="0.2">
      <c r="C70" s="115" t="s">
        <v>501</v>
      </c>
      <c r="D70" s="116"/>
      <c r="E70" s="116"/>
      <c r="F70" s="117"/>
      <c r="G70" s="117"/>
      <c r="H70" s="117"/>
      <c r="I70" s="118"/>
      <c r="J70" s="118"/>
      <c r="K70" s="116"/>
      <c r="L70" s="116"/>
      <c r="M70" s="116"/>
      <c r="N70" s="523">
        <f>N68*(1+(N69*(1-$F$3)))</f>
        <v>1.0616820817504318</v>
      </c>
      <c r="O70" s="524">
        <f>O68*(1+(O69*(1-$F$3)))</f>
        <v>1.1294388734147438</v>
      </c>
    </row>
  </sheetData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1E64E-24BE-44F5-AC0B-2F50B420E4C1}">
  <sheetPr>
    <tabColor theme="8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D3D20-7C31-453E-9BE3-0BB598230DE8}">
  <sheetPr>
    <tabColor theme="8"/>
  </sheetPr>
  <dimension ref="B4:D97"/>
  <sheetViews>
    <sheetView zoomScale="55" zoomScaleNormal="55" workbookViewId="0"/>
  </sheetViews>
  <sheetFormatPr defaultRowHeight="14.25" x14ac:dyDescent="0.2"/>
  <cols>
    <col min="1" max="1" width="9.140625" style="1"/>
    <col min="2" max="2" width="11.28515625" style="1" bestFit="1" customWidth="1"/>
    <col min="3" max="3" width="8" style="1" bestFit="1" customWidth="1"/>
    <col min="4" max="4" width="19.42578125" style="1" bestFit="1" customWidth="1"/>
    <col min="5" max="16384" width="9.140625" style="1"/>
  </cols>
  <sheetData>
    <row r="4" spans="2:4" ht="15" x14ac:dyDescent="0.25">
      <c r="B4" s="205" t="s">
        <v>637</v>
      </c>
      <c r="C4" s="205" t="s">
        <v>6</v>
      </c>
      <c r="D4" s="205" t="s">
        <v>638</v>
      </c>
    </row>
    <row r="5" spans="2:4" x14ac:dyDescent="0.2">
      <c r="B5" s="480">
        <v>44862</v>
      </c>
      <c r="C5" s="481">
        <v>22.21</v>
      </c>
      <c r="D5" s="211">
        <v>1548</v>
      </c>
    </row>
    <row r="6" spans="2:4" x14ac:dyDescent="0.2">
      <c r="B6" s="480">
        <v>44862</v>
      </c>
      <c r="C6" s="481">
        <v>22.21</v>
      </c>
      <c r="D6" s="211">
        <v>1548</v>
      </c>
    </row>
    <row r="7" spans="2:4" x14ac:dyDescent="0.2">
      <c r="B7" s="480">
        <v>44855</v>
      </c>
      <c r="C7" s="481">
        <v>20.5</v>
      </c>
      <c r="D7" s="211">
        <v>3340</v>
      </c>
    </row>
    <row r="8" spans="2:4" x14ac:dyDescent="0.2">
      <c r="B8" s="480">
        <v>44848</v>
      </c>
      <c r="C8" s="481">
        <v>19.989999999999998</v>
      </c>
      <c r="D8" s="211">
        <v>1195</v>
      </c>
    </row>
    <row r="9" spans="2:4" x14ac:dyDescent="0.2">
      <c r="B9" s="480">
        <v>44841</v>
      </c>
      <c r="C9" s="481">
        <v>21.93</v>
      </c>
      <c r="D9" s="211">
        <v>878</v>
      </c>
    </row>
    <row r="10" spans="2:4" x14ac:dyDescent="0.2">
      <c r="B10" s="480">
        <v>44834</v>
      </c>
      <c r="C10" s="481">
        <v>21.55</v>
      </c>
      <c r="D10" s="211">
        <v>1666</v>
      </c>
    </row>
    <row r="11" spans="2:4" x14ac:dyDescent="0.2">
      <c r="B11" s="480">
        <v>44827</v>
      </c>
      <c r="C11" s="481">
        <v>20.260000000000002</v>
      </c>
      <c r="D11" s="211">
        <v>2855</v>
      </c>
    </row>
    <row r="12" spans="2:4" x14ac:dyDescent="0.2">
      <c r="B12" s="480">
        <v>44820</v>
      </c>
      <c r="C12" s="481">
        <v>24.39</v>
      </c>
      <c r="D12" s="211">
        <v>3411</v>
      </c>
    </row>
    <row r="13" spans="2:4" x14ac:dyDescent="0.2">
      <c r="B13" s="480">
        <v>44813</v>
      </c>
      <c r="C13" s="481">
        <v>26.56</v>
      </c>
      <c r="D13" s="211">
        <v>2024</v>
      </c>
    </row>
    <row r="14" spans="2:4" x14ac:dyDescent="0.2">
      <c r="B14" s="480">
        <v>44806</v>
      </c>
      <c r="C14" s="481">
        <v>24.99</v>
      </c>
      <c r="D14" s="211">
        <v>1132</v>
      </c>
    </row>
    <row r="15" spans="2:4" x14ac:dyDescent="0.2">
      <c r="B15" s="480">
        <v>44799</v>
      </c>
      <c r="C15" s="481">
        <v>25.11</v>
      </c>
      <c r="D15" s="211">
        <v>1062</v>
      </c>
    </row>
    <row r="16" spans="2:4" x14ac:dyDescent="0.2">
      <c r="B16" s="480">
        <v>44792</v>
      </c>
      <c r="C16" s="481">
        <v>25.48</v>
      </c>
      <c r="D16" s="211">
        <v>1873</v>
      </c>
    </row>
    <row r="17" spans="2:4" x14ac:dyDescent="0.2">
      <c r="B17" s="480">
        <v>44785</v>
      </c>
      <c r="C17" s="481">
        <v>26.24</v>
      </c>
      <c r="D17" s="211">
        <v>1665</v>
      </c>
    </row>
    <row r="18" spans="2:4" x14ac:dyDescent="0.2">
      <c r="B18" s="480">
        <v>44778</v>
      </c>
      <c r="C18" s="481">
        <v>23.07</v>
      </c>
      <c r="D18" s="211">
        <v>2590</v>
      </c>
    </row>
    <row r="19" spans="2:4" x14ac:dyDescent="0.2">
      <c r="B19" s="480">
        <v>44771</v>
      </c>
      <c r="C19" s="481">
        <v>23.63</v>
      </c>
      <c r="D19" s="211">
        <v>2549</v>
      </c>
    </row>
    <row r="20" spans="2:4" x14ac:dyDescent="0.2">
      <c r="B20" s="480">
        <v>44764</v>
      </c>
      <c r="C20" s="481">
        <v>17.760000000000002</v>
      </c>
      <c r="D20" s="211">
        <v>1625</v>
      </c>
    </row>
    <row r="21" spans="2:4" x14ac:dyDescent="0.2">
      <c r="B21" s="480">
        <v>44757</v>
      </c>
      <c r="C21" s="481">
        <v>16.18</v>
      </c>
      <c r="D21" s="211">
        <v>3199</v>
      </c>
    </row>
    <row r="22" spans="2:4" x14ac:dyDescent="0.2">
      <c r="B22" s="480">
        <v>44750</v>
      </c>
      <c r="C22" s="481">
        <v>18.43</v>
      </c>
      <c r="D22" s="211">
        <v>1786</v>
      </c>
    </row>
    <row r="23" spans="2:4" x14ac:dyDescent="0.2">
      <c r="B23" s="480">
        <v>44743</v>
      </c>
      <c r="C23" s="481">
        <v>16.29</v>
      </c>
      <c r="D23" s="211">
        <v>1675</v>
      </c>
    </row>
    <row r="24" spans="2:4" x14ac:dyDescent="0.2">
      <c r="B24" s="480">
        <v>44736</v>
      </c>
      <c r="C24" s="481">
        <v>17.41</v>
      </c>
      <c r="D24" s="211">
        <v>14343</v>
      </c>
    </row>
    <row r="25" spans="2:4" x14ac:dyDescent="0.2">
      <c r="B25" s="480">
        <v>44729</v>
      </c>
      <c r="C25" s="481">
        <v>19.57</v>
      </c>
      <c r="D25" s="211">
        <v>4278</v>
      </c>
    </row>
    <row r="26" spans="2:4" x14ac:dyDescent="0.2">
      <c r="B26" s="480">
        <v>44722</v>
      </c>
      <c r="C26" s="481">
        <v>18.04</v>
      </c>
      <c r="D26" s="211">
        <v>2386</v>
      </c>
    </row>
    <row r="27" spans="2:4" x14ac:dyDescent="0.2">
      <c r="B27" s="480">
        <v>44715</v>
      </c>
      <c r="C27" s="481">
        <v>15.36</v>
      </c>
      <c r="D27" s="211">
        <v>1667</v>
      </c>
    </row>
    <row r="28" spans="2:4" x14ac:dyDescent="0.2">
      <c r="B28" s="480">
        <v>44708</v>
      </c>
      <c r="C28" s="481">
        <v>15.85</v>
      </c>
      <c r="D28" s="211">
        <v>3641</v>
      </c>
    </row>
    <row r="29" spans="2:4" x14ac:dyDescent="0.2">
      <c r="B29" s="480">
        <v>44701</v>
      </c>
      <c r="C29" s="481">
        <v>15.11</v>
      </c>
      <c r="D29" s="211">
        <v>1459</v>
      </c>
    </row>
    <row r="30" spans="2:4" x14ac:dyDescent="0.2">
      <c r="B30" s="480">
        <v>44694</v>
      </c>
      <c r="C30" s="481">
        <v>12.58</v>
      </c>
      <c r="D30" s="211">
        <v>4013</v>
      </c>
    </row>
    <row r="31" spans="2:4" x14ac:dyDescent="0.2">
      <c r="B31" s="480">
        <v>44687</v>
      </c>
      <c r="C31" s="481">
        <v>13.57</v>
      </c>
      <c r="D31" s="211">
        <v>2305</v>
      </c>
    </row>
    <row r="32" spans="2:4" x14ac:dyDescent="0.2">
      <c r="B32" s="480">
        <v>44680</v>
      </c>
      <c r="C32" s="481">
        <v>9.98</v>
      </c>
      <c r="D32" s="211">
        <v>2005</v>
      </c>
    </row>
    <row r="33" spans="2:4" x14ac:dyDescent="0.2">
      <c r="B33" s="480">
        <v>44673</v>
      </c>
      <c r="C33" s="481">
        <v>10.39</v>
      </c>
      <c r="D33" s="211">
        <v>5845</v>
      </c>
    </row>
    <row r="34" spans="2:4" x14ac:dyDescent="0.2">
      <c r="B34" s="480">
        <v>44665</v>
      </c>
      <c r="C34" s="481">
        <v>12.68</v>
      </c>
      <c r="D34" s="211">
        <v>1651</v>
      </c>
    </row>
    <row r="35" spans="2:4" x14ac:dyDescent="0.2">
      <c r="B35" s="480">
        <v>44659</v>
      </c>
      <c r="C35" s="481">
        <v>13.53</v>
      </c>
      <c r="D35" s="211">
        <v>3771</v>
      </c>
    </row>
    <row r="36" spans="2:4" x14ac:dyDescent="0.2">
      <c r="B36" s="480">
        <v>44652</v>
      </c>
      <c r="C36" s="481">
        <v>17.07</v>
      </c>
      <c r="D36" s="211">
        <v>2080</v>
      </c>
    </row>
    <row r="37" spans="2:4" x14ac:dyDescent="0.2">
      <c r="B37" s="480">
        <v>44645</v>
      </c>
      <c r="C37" s="481">
        <v>19.95</v>
      </c>
      <c r="D37" s="211">
        <v>2715</v>
      </c>
    </row>
    <row r="38" spans="2:4" x14ac:dyDescent="0.2">
      <c r="B38" s="480">
        <v>44638</v>
      </c>
      <c r="C38" s="481">
        <v>21.31</v>
      </c>
      <c r="D38" s="211">
        <v>4246</v>
      </c>
    </row>
    <row r="39" spans="2:4" x14ac:dyDescent="0.2">
      <c r="B39" s="480">
        <v>44631</v>
      </c>
      <c r="C39" s="481">
        <v>17.920000000000002</v>
      </c>
      <c r="D39" s="211">
        <v>5725</v>
      </c>
    </row>
    <row r="40" spans="2:4" x14ac:dyDescent="0.2">
      <c r="B40" s="480">
        <v>44624</v>
      </c>
      <c r="C40" s="481">
        <v>14.07</v>
      </c>
      <c r="D40" s="211">
        <v>1442</v>
      </c>
    </row>
    <row r="41" spans="2:4" x14ac:dyDescent="0.2">
      <c r="B41" s="480">
        <v>44617</v>
      </c>
      <c r="C41" s="481">
        <v>14.23</v>
      </c>
      <c r="D41" s="211">
        <v>2522</v>
      </c>
    </row>
    <row r="42" spans="2:4" x14ac:dyDescent="0.2">
      <c r="B42" s="480">
        <v>44610</v>
      </c>
      <c r="C42" s="481">
        <v>12.42</v>
      </c>
      <c r="D42" s="211">
        <v>1788</v>
      </c>
    </row>
    <row r="43" spans="2:4" x14ac:dyDescent="0.2">
      <c r="B43" s="480">
        <v>44603</v>
      </c>
      <c r="C43" s="481">
        <v>14</v>
      </c>
      <c r="D43" s="211">
        <v>1829</v>
      </c>
    </row>
    <row r="44" spans="2:4" x14ac:dyDescent="0.2">
      <c r="B44" s="480">
        <v>44596</v>
      </c>
      <c r="C44" s="481">
        <v>15.96</v>
      </c>
      <c r="D44" s="211">
        <v>1125</v>
      </c>
    </row>
    <row r="45" spans="2:4" x14ac:dyDescent="0.2">
      <c r="B45" s="480">
        <v>44589</v>
      </c>
      <c r="C45" s="481">
        <v>14.43</v>
      </c>
      <c r="D45" s="211">
        <v>3112</v>
      </c>
    </row>
    <row r="46" spans="2:4" x14ac:dyDescent="0.2">
      <c r="B46" s="480">
        <v>44582</v>
      </c>
      <c r="C46" s="481">
        <v>15.4</v>
      </c>
      <c r="D46" s="211">
        <v>3237</v>
      </c>
    </row>
    <row r="47" spans="2:4" x14ac:dyDescent="0.2">
      <c r="B47" s="480">
        <v>44575</v>
      </c>
      <c r="C47" s="481">
        <v>20.68</v>
      </c>
      <c r="D47" s="211">
        <v>1005</v>
      </c>
    </row>
    <row r="48" spans="2:4" x14ac:dyDescent="0.2">
      <c r="B48" s="480">
        <v>44568</v>
      </c>
      <c r="C48" s="481">
        <v>21.87</v>
      </c>
      <c r="D48" s="211">
        <v>1576</v>
      </c>
    </row>
    <row r="49" spans="2:4" x14ac:dyDescent="0.2">
      <c r="B49" s="480">
        <v>44561</v>
      </c>
      <c r="C49" s="481">
        <v>24.3</v>
      </c>
      <c r="D49" s="211">
        <v>801</v>
      </c>
    </row>
    <row r="50" spans="2:4" x14ac:dyDescent="0.2">
      <c r="B50" s="480">
        <v>44553</v>
      </c>
      <c r="C50" s="481">
        <v>26.05</v>
      </c>
      <c r="D50" s="211">
        <v>859</v>
      </c>
    </row>
    <row r="51" spans="2:4" x14ac:dyDescent="0.2">
      <c r="B51" s="480">
        <v>44547</v>
      </c>
      <c r="C51" s="481">
        <v>25.52</v>
      </c>
      <c r="D51" s="211">
        <v>3000</v>
      </c>
    </row>
    <row r="52" spans="2:4" x14ac:dyDescent="0.2">
      <c r="B52" s="480">
        <v>44540</v>
      </c>
      <c r="C52" s="481">
        <v>25.85</v>
      </c>
      <c r="D52" s="211">
        <v>1068</v>
      </c>
    </row>
    <row r="53" spans="2:4" x14ac:dyDescent="0.2">
      <c r="B53" s="480">
        <v>44533</v>
      </c>
      <c r="C53" s="481">
        <v>26.66</v>
      </c>
      <c r="D53" s="211">
        <v>1193</v>
      </c>
    </row>
    <row r="54" spans="2:4" x14ac:dyDescent="0.2">
      <c r="B54" s="480">
        <v>44526</v>
      </c>
      <c r="C54" s="481">
        <v>29.39</v>
      </c>
      <c r="D54" s="211">
        <v>426</v>
      </c>
    </row>
    <row r="55" spans="2:4" x14ac:dyDescent="0.2">
      <c r="B55" s="480">
        <v>44519</v>
      </c>
      <c r="C55" s="481">
        <v>32.89</v>
      </c>
      <c r="D55" s="211">
        <v>968</v>
      </c>
    </row>
    <row r="56" spans="2:4" x14ac:dyDescent="0.2">
      <c r="B56" s="480">
        <v>44512</v>
      </c>
      <c r="C56" s="481">
        <v>35.25</v>
      </c>
      <c r="D56" s="211">
        <v>2040</v>
      </c>
    </row>
    <row r="57" spans="2:4" x14ac:dyDescent="0.2">
      <c r="B57" s="480">
        <v>44505</v>
      </c>
      <c r="C57" s="481">
        <v>32.31</v>
      </c>
      <c r="D57" s="211">
        <v>801</v>
      </c>
    </row>
    <row r="58" spans="2:4" x14ac:dyDescent="0.2">
      <c r="B58" s="480">
        <v>44498</v>
      </c>
      <c r="C58" s="481">
        <v>30.99</v>
      </c>
      <c r="D58" s="211">
        <v>1608</v>
      </c>
    </row>
    <row r="59" spans="2:4" x14ac:dyDescent="0.2">
      <c r="B59" s="480">
        <v>44491</v>
      </c>
      <c r="C59" s="481">
        <v>25.93</v>
      </c>
      <c r="D59" s="211">
        <v>1545</v>
      </c>
    </row>
    <row r="60" spans="2:4" x14ac:dyDescent="0.2">
      <c r="B60" s="480">
        <v>44484</v>
      </c>
      <c r="C60" s="481">
        <v>28.23</v>
      </c>
      <c r="D60" s="211">
        <v>3139</v>
      </c>
    </row>
    <row r="61" spans="2:4" x14ac:dyDescent="0.2">
      <c r="B61" s="480">
        <v>44477</v>
      </c>
      <c r="C61" s="481">
        <v>27.48</v>
      </c>
      <c r="D61" s="211">
        <v>677</v>
      </c>
    </row>
    <row r="62" spans="2:4" x14ac:dyDescent="0.2">
      <c r="B62" s="480">
        <v>44470</v>
      </c>
      <c r="C62" s="481">
        <v>27.77</v>
      </c>
      <c r="D62" s="211">
        <v>1115</v>
      </c>
    </row>
    <row r="63" spans="2:4" x14ac:dyDescent="0.2">
      <c r="B63" s="480">
        <v>44463</v>
      </c>
      <c r="C63" s="481">
        <v>29.75</v>
      </c>
      <c r="D63" s="211">
        <v>1045</v>
      </c>
    </row>
    <row r="64" spans="2:4" x14ac:dyDescent="0.2">
      <c r="B64" s="480">
        <v>44456</v>
      </c>
      <c r="C64" s="481">
        <v>32.880000000000003</v>
      </c>
      <c r="D64" s="211">
        <v>4132</v>
      </c>
    </row>
    <row r="65" spans="2:4" x14ac:dyDescent="0.2">
      <c r="B65" s="480">
        <v>44449</v>
      </c>
      <c r="C65" s="481">
        <v>29.7</v>
      </c>
      <c r="D65" s="211">
        <v>854</v>
      </c>
    </row>
    <row r="66" spans="2:4" x14ac:dyDescent="0.2">
      <c r="B66" s="480">
        <v>44442</v>
      </c>
      <c r="C66" s="481">
        <v>33.42</v>
      </c>
      <c r="D66" s="211">
        <v>392</v>
      </c>
    </row>
    <row r="67" spans="2:4" x14ac:dyDescent="0.2">
      <c r="B67" s="480">
        <v>44435</v>
      </c>
      <c r="C67" s="481">
        <v>31.86</v>
      </c>
      <c r="D67" s="211">
        <v>476</v>
      </c>
    </row>
    <row r="68" spans="2:4" x14ac:dyDescent="0.2">
      <c r="B68" s="480">
        <v>44428</v>
      </c>
      <c r="C68" s="481">
        <v>31.02</v>
      </c>
      <c r="D68" s="211">
        <v>947</v>
      </c>
    </row>
    <row r="69" spans="2:4" x14ac:dyDescent="0.2">
      <c r="B69" s="480">
        <v>44421</v>
      </c>
      <c r="C69" s="481">
        <v>33.020000000000003</v>
      </c>
      <c r="D69" s="211">
        <v>777</v>
      </c>
    </row>
    <row r="70" spans="2:4" x14ac:dyDescent="0.2">
      <c r="B70" s="480">
        <v>44414</v>
      </c>
      <c r="C70" s="481">
        <v>32.72</v>
      </c>
      <c r="D70" s="211">
        <v>1469</v>
      </c>
    </row>
    <row r="71" spans="2:4" x14ac:dyDescent="0.2">
      <c r="B71" s="480">
        <v>44407</v>
      </c>
      <c r="C71" s="481">
        <v>29.09</v>
      </c>
      <c r="D71" s="211">
        <v>935</v>
      </c>
    </row>
    <row r="72" spans="2:4" x14ac:dyDescent="0.2">
      <c r="B72" s="480">
        <v>44400</v>
      </c>
      <c r="C72" s="481">
        <v>27.59</v>
      </c>
      <c r="D72" s="211">
        <v>872</v>
      </c>
    </row>
    <row r="73" spans="2:4" x14ac:dyDescent="0.2">
      <c r="B73" s="480">
        <v>44393</v>
      </c>
      <c r="C73" s="481">
        <v>27.11</v>
      </c>
      <c r="D73" s="211">
        <v>3864</v>
      </c>
    </row>
    <row r="74" spans="2:4" x14ac:dyDescent="0.2">
      <c r="B74" s="480">
        <v>44386</v>
      </c>
      <c r="C74" s="481">
        <v>35.380000000000003</v>
      </c>
      <c r="D74" s="211">
        <v>1098</v>
      </c>
    </row>
    <row r="75" spans="2:4" x14ac:dyDescent="0.2">
      <c r="B75" s="480">
        <v>44379</v>
      </c>
      <c r="C75" s="481">
        <v>35.659999999999997</v>
      </c>
      <c r="D75" s="211">
        <v>625</v>
      </c>
    </row>
    <row r="76" spans="2:4" x14ac:dyDescent="0.2">
      <c r="B76" s="480">
        <v>44372</v>
      </c>
      <c r="C76" s="481">
        <v>32.46</v>
      </c>
      <c r="D76" s="211">
        <v>1543</v>
      </c>
    </row>
    <row r="77" spans="2:4" x14ac:dyDescent="0.2">
      <c r="B77" s="480">
        <v>44365</v>
      </c>
      <c r="C77" s="481">
        <v>30.81</v>
      </c>
      <c r="D77" s="211">
        <v>6216</v>
      </c>
    </row>
    <row r="78" spans="2:4" x14ac:dyDescent="0.2">
      <c r="B78" s="480">
        <v>44358</v>
      </c>
      <c r="C78" s="481">
        <v>30.64</v>
      </c>
      <c r="D78" s="211">
        <v>1214</v>
      </c>
    </row>
    <row r="79" spans="2:4" x14ac:dyDescent="0.2">
      <c r="B79" s="480">
        <v>44351</v>
      </c>
      <c r="C79" s="481">
        <v>26.73</v>
      </c>
      <c r="D79" s="211">
        <v>861</v>
      </c>
    </row>
    <row r="80" spans="2:4" x14ac:dyDescent="0.2">
      <c r="B80" s="480">
        <v>44344</v>
      </c>
      <c r="C80" s="481">
        <v>27.6</v>
      </c>
      <c r="D80" s="211">
        <v>890</v>
      </c>
    </row>
    <row r="81" spans="2:4" x14ac:dyDescent="0.2">
      <c r="B81" s="480">
        <v>44337</v>
      </c>
      <c r="C81" s="481">
        <v>24.39</v>
      </c>
      <c r="D81" s="211">
        <v>2110</v>
      </c>
    </row>
    <row r="82" spans="2:4" x14ac:dyDescent="0.2">
      <c r="B82" s="480">
        <v>44330</v>
      </c>
      <c r="C82" s="481">
        <v>23.08</v>
      </c>
      <c r="D82" s="211">
        <v>1801</v>
      </c>
    </row>
    <row r="83" spans="2:4" x14ac:dyDescent="0.2">
      <c r="B83" s="480">
        <v>44323</v>
      </c>
      <c r="C83" s="481">
        <v>28.78</v>
      </c>
      <c r="D83" s="211">
        <v>776</v>
      </c>
    </row>
    <row r="84" spans="2:4" x14ac:dyDescent="0.2">
      <c r="B84" s="480">
        <v>44316</v>
      </c>
      <c r="C84" s="481">
        <v>32.07</v>
      </c>
      <c r="D84" s="211">
        <v>883</v>
      </c>
    </row>
    <row r="85" spans="2:4" x14ac:dyDescent="0.2">
      <c r="B85" s="480">
        <v>44309</v>
      </c>
      <c r="C85" s="481">
        <v>34.6</v>
      </c>
      <c r="D85" s="211">
        <v>776</v>
      </c>
    </row>
    <row r="86" spans="2:4" x14ac:dyDescent="0.2">
      <c r="B86" s="480">
        <v>44302</v>
      </c>
      <c r="C86" s="481">
        <v>33.07</v>
      </c>
      <c r="D86" s="211">
        <v>3940</v>
      </c>
    </row>
    <row r="87" spans="2:4" x14ac:dyDescent="0.2">
      <c r="B87" s="480">
        <v>44295</v>
      </c>
      <c r="C87" s="481">
        <v>34.69</v>
      </c>
      <c r="D87" s="211">
        <v>1702</v>
      </c>
    </row>
    <row r="88" spans="2:4" x14ac:dyDescent="0.2">
      <c r="B88" s="480">
        <v>44287</v>
      </c>
      <c r="C88" s="481">
        <v>34.57</v>
      </c>
      <c r="D88" s="211">
        <v>1218</v>
      </c>
    </row>
    <row r="89" spans="2:4" x14ac:dyDescent="0.2">
      <c r="B89" s="480">
        <v>44281</v>
      </c>
      <c r="C89" s="481">
        <v>31.29</v>
      </c>
      <c r="D89" s="211">
        <v>913</v>
      </c>
    </row>
    <row r="90" spans="2:4" x14ac:dyDescent="0.2">
      <c r="B90" s="480">
        <v>44274</v>
      </c>
      <c r="C90" s="481">
        <v>31.11</v>
      </c>
      <c r="D90" s="211">
        <v>7577</v>
      </c>
    </row>
    <row r="91" spans="2:4" x14ac:dyDescent="0.2">
      <c r="B91" s="480">
        <v>44267</v>
      </c>
      <c r="C91" s="481">
        <v>34.840000000000003</v>
      </c>
      <c r="D91" s="211">
        <v>1011</v>
      </c>
    </row>
    <row r="92" spans="2:4" x14ac:dyDescent="0.2">
      <c r="B92" s="480">
        <v>44260</v>
      </c>
      <c r="C92" s="481">
        <v>32.200000000000003</v>
      </c>
      <c r="D92" s="211">
        <v>1461</v>
      </c>
    </row>
    <row r="93" spans="2:4" x14ac:dyDescent="0.2">
      <c r="B93" s="480">
        <v>44253</v>
      </c>
      <c r="C93" s="481">
        <v>32.619999999999997</v>
      </c>
      <c r="D93" s="211">
        <v>1481</v>
      </c>
    </row>
    <row r="94" spans="2:4" x14ac:dyDescent="0.2">
      <c r="B94" s="480">
        <v>44246</v>
      </c>
      <c r="C94" s="481">
        <v>40.17</v>
      </c>
      <c r="D94" s="211">
        <v>1782</v>
      </c>
    </row>
    <row r="95" spans="2:4" x14ac:dyDescent="0.2">
      <c r="B95" s="480">
        <v>44239</v>
      </c>
      <c r="C95" s="481">
        <v>37.92</v>
      </c>
      <c r="D95" s="211">
        <v>552</v>
      </c>
    </row>
    <row r="96" spans="2:4" x14ac:dyDescent="0.2">
      <c r="B96" s="480">
        <v>44232</v>
      </c>
      <c r="C96" s="481">
        <v>39.950000000000003</v>
      </c>
      <c r="D96" s="211">
        <v>1344</v>
      </c>
    </row>
    <row r="97" spans="2:4" x14ac:dyDescent="0.2">
      <c r="B97" s="480">
        <v>44225</v>
      </c>
      <c r="C97" s="481">
        <v>33.93</v>
      </c>
      <c r="D97" s="211">
        <v>4688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93F02-AF25-4000-92FF-BC6EA96D128C}">
  <sheetPr>
    <tabColor theme="8"/>
  </sheetPr>
  <dimension ref="B2:AA29"/>
  <sheetViews>
    <sheetView workbookViewId="0"/>
  </sheetViews>
  <sheetFormatPr defaultRowHeight="14.25" outlineLevelCol="1" x14ac:dyDescent="0.2"/>
  <cols>
    <col min="1" max="1" width="9.140625" style="1"/>
    <col min="2" max="2" width="26" style="1" bestFit="1" customWidth="1"/>
    <col min="3" max="5" width="0" style="1" hidden="1" customWidth="1" outlineLevel="1"/>
    <col min="6" max="6" width="9.140625" style="237" customWidth="1" collapsed="1"/>
    <col min="7" max="7" width="0.7109375" style="21" customWidth="1"/>
    <col min="8" max="11" width="8.140625" style="1" customWidth="1"/>
    <col min="12" max="12" width="1.28515625" style="1" customWidth="1"/>
    <col min="13" max="13" width="9.140625" style="1" customWidth="1"/>
    <col min="14" max="14" width="1.28515625" style="1" customWidth="1"/>
    <col min="15" max="18" width="8.140625" style="1" customWidth="1"/>
    <col min="19" max="19" width="1.28515625" style="1" customWidth="1"/>
    <col min="20" max="20" width="8.140625" style="1" customWidth="1"/>
    <col min="21" max="21" width="1.28515625" style="1" customWidth="1"/>
    <col min="22" max="25" width="8.140625" style="1" customWidth="1"/>
    <col min="26" max="26" width="1.28515625" style="1" customWidth="1"/>
    <col min="27" max="27" width="8.140625" style="1" customWidth="1"/>
    <col min="28" max="16384" width="9.140625" style="1"/>
  </cols>
  <sheetData>
    <row r="2" spans="2:27" ht="15" x14ac:dyDescent="0.25">
      <c r="B2" s="391" t="s">
        <v>578</v>
      </c>
      <c r="C2" s="391"/>
      <c r="D2" s="391"/>
      <c r="E2" s="391"/>
      <c r="F2" s="392"/>
      <c r="H2" s="391" t="s">
        <v>554</v>
      </c>
      <c r="I2" s="391"/>
      <c r="J2" s="391"/>
      <c r="K2" s="391"/>
      <c r="M2" s="391" t="s">
        <v>548</v>
      </c>
      <c r="O2" s="391" t="s">
        <v>579</v>
      </c>
      <c r="P2" s="391"/>
      <c r="Q2" s="391"/>
      <c r="R2" s="391"/>
      <c r="T2" s="391" t="s">
        <v>548</v>
      </c>
      <c r="V2" s="391" t="s">
        <v>574</v>
      </c>
      <c r="W2" s="391"/>
      <c r="X2" s="391"/>
      <c r="Y2" s="391"/>
      <c r="AA2" s="391" t="s">
        <v>548</v>
      </c>
    </row>
    <row r="3" spans="2:27" s="73" customFormat="1" ht="15" x14ac:dyDescent="0.25">
      <c r="B3" s="205"/>
      <c r="C3" s="205">
        <v>2018</v>
      </c>
      <c r="D3" s="205">
        <f>C3+1</f>
        <v>2019</v>
      </c>
      <c r="E3" s="205">
        <f t="shared" ref="E3:K3" si="0">D3+1</f>
        <v>2020</v>
      </c>
      <c r="F3" s="393">
        <f t="shared" si="0"/>
        <v>2021</v>
      </c>
      <c r="G3" s="22"/>
      <c r="H3" s="394">
        <f>F3+1</f>
        <v>2022</v>
      </c>
      <c r="I3" s="394">
        <f t="shared" si="0"/>
        <v>2023</v>
      </c>
      <c r="J3" s="394">
        <f t="shared" si="0"/>
        <v>2024</v>
      </c>
      <c r="K3" s="394">
        <f t="shared" si="0"/>
        <v>2025</v>
      </c>
      <c r="M3" s="395" t="s">
        <v>575</v>
      </c>
      <c r="O3" s="394">
        <f>H3</f>
        <v>2022</v>
      </c>
      <c r="P3" s="394">
        <f>O3+1</f>
        <v>2023</v>
      </c>
      <c r="Q3" s="394">
        <f>P3+1</f>
        <v>2024</v>
      </c>
      <c r="R3" s="394">
        <f>Q3+1</f>
        <v>2025</v>
      </c>
      <c r="T3" s="395" t="s">
        <v>575</v>
      </c>
      <c r="V3" s="394">
        <f>O3</f>
        <v>2022</v>
      </c>
      <c r="W3" s="394">
        <f>V3+1</f>
        <v>2023</v>
      </c>
      <c r="X3" s="394">
        <f>W3+1</f>
        <v>2024</v>
      </c>
      <c r="Y3" s="394">
        <f>X3+1</f>
        <v>2025</v>
      </c>
      <c r="AA3" s="395" t="s">
        <v>575</v>
      </c>
    </row>
    <row r="5" spans="2:27" x14ac:dyDescent="0.2">
      <c r="B5" s="1" t="s">
        <v>29</v>
      </c>
      <c r="C5" s="1">
        <f>IS!D9</f>
        <v>103.75</v>
      </c>
      <c r="D5" s="1">
        <f>IS!E9</f>
        <v>144.49600000000001</v>
      </c>
      <c r="E5" s="1">
        <f>IS!F9</f>
        <v>175.518</v>
      </c>
      <c r="F5" s="385">
        <f>IS!G9</f>
        <v>213.21199999999999</v>
      </c>
      <c r="H5" s="386">
        <f>'Comparables Analysis'!M6</f>
        <v>313</v>
      </c>
      <c r="I5" s="386">
        <f>'Comparables Analysis'!N6</f>
        <v>502</v>
      </c>
      <c r="J5" s="386">
        <f>'Comparables Analysis'!O6</f>
        <v>692</v>
      </c>
      <c r="K5" s="386">
        <f>'Comparables Analysis'!P6</f>
        <v>873</v>
      </c>
      <c r="L5" s="386"/>
      <c r="M5" s="87">
        <f>RATE(4,,-F5,K5)</f>
        <v>0.42249467697242254</v>
      </c>
      <c r="N5" s="386"/>
      <c r="O5" s="386">
        <f>IS!H9</f>
        <v>303.29499999999996</v>
      </c>
      <c r="P5" s="386">
        <f>IS!I9</f>
        <v>470.10725000000002</v>
      </c>
      <c r="Q5" s="386">
        <f>IS!J9</f>
        <v>611.13942500000007</v>
      </c>
      <c r="R5" s="386">
        <f>IS!K9</f>
        <v>763.92428125000015</v>
      </c>
      <c r="S5" s="386"/>
      <c r="T5" s="87">
        <f>RATE(4,,-F5,R5)</f>
        <v>0.37581381984914741</v>
      </c>
      <c r="U5" s="386"/>
      <c r="V5" s="211">
        <f t="shared" ref="V5:Y6" si="1">O5-H5</f>
        <v>-9.7050000000000409</v>
      </c>
      <c r="W5" s="211">
        <f t="shared" si="1"/>
        <v>-31.892749999999978</v>
      </c>
      <c r="X5" s="211">
        <f t="shared" si="1"/>
        <v>-80.860574999999926</v>
      </c>
      <c r="Y5" s="211">
        <f t="shared" si="1"/>
        <v>-109.07571874999985</v>
      </c>
      <c r="AA5" s="87">
        <f>T5-M5</f>
        <v>-4.6680857123275132E-2</v>
      </c>
    </row>
    <row r="6" spans="2:27" s="38" customFormat="1" x14ac:dyDescent="0.2">
      <c r="B6" s="397" t="s">
        <v>59</v>
      </c>
      <c r="F6" s="377"/>
      <c r="G6" s="390"/>
      <c r="H6" s="30">
        <f>H5/F5-1</f>
        <v>0.46802243776147701</v>
      </c>
      <c r="I6" s="30">
        <f>I5/H5-1</f>
        <v>0.60383386581469645</v>
      </c>
      <c r="J6" s="30">
        <f>J5/I5-1</f>
        <v>0.37848605577689254</v>
      </c>
      <c r="K6" s="30">
        <f>K5/J5-1</f>
        <v>0.2615606936416186</v>
      </c>
      <c r="O6" s="30">
        <f>O5/F5-1</f>
        <v>0.42250436185580531</v>
      </c>
      <c r="P6" s="30">
        <f>P5/O5-1</f>
        <v>0.55000000000000027</v>
      </c>
      <c r="Q6" s="30">
        <f>Q5/P5-1</f>
        <v>0.30000000000000004</v>
      </c>
      <c r="R6" s="30">
        <f>R5/Q5-1</f>
        <v>0.25</v>
      </c>
      <c r="V6" s="366">
        <f t="shared" si="1"/>
        <v>-4.5518075905671695E-2</v>
      </c>
      <c r="W6" s="366">
        <f t="shared" si="1"/>
        <v>-5.383386581469618E-2</v>
      </c>
      <c r="X6" s="366">
        <f t="shared" si="1"/>
        <v>-7.8486055776892494E-2</v>
      </c>
      <c r="Y6" s="366">
        <f t="shared" si="1"/>
        <v>-1.1560693641618602E-2</v>
      </c>
    </row>
    <row r="7" spans="2:27" x14ac:dyDescent="0.2">
      <c r="B7" s="396"/>
    </row>
    <row r="8" spans="2:27" ht="15" x14ac:dyDescent="0.25">
      <c r="B8" s="181" t="s">
        <v>86</v>
      </c>
      <c r="C8" s="181">
        <f>IS!D15</f>
        <v>28.168000000000006</v>
      </c>
      <c r="D8" s="181">
        <f>IS!E15</f>
        <v>44.212000000000003</v>
      </c>
      <c r="E8" s="181">
        <f>IS!F15</f>
        <v>66.546000000000006</v>
      </c>
      <c r="F8" s="400">
        <f>IS!G15</f>
        <v>82.644999999999982</v>
      </c>
      <c r="G8" s="22"/>
      <c r="H8" s="401">
        <f>'Comparables Analysis'!V6</f>
        <v>121</v>
      </c>
      <c r="I8" s="401">
        <f>'Comparables Analysis'!W6</f>
        <v>195</v>
      </c>
      <c r="J8" s="401">
        <f>'Comparables Analysis'!X6</f>
        <v>261</v>
      </c>
      <c r="K8" s="401">
        <f>'Comparables Analysis'!Y6</f>
        <v>350</v>
      </c>
      <c r="L8" s="402"/>
      <c r="M8" s="403">
        <f>RATE(4,,-F8,K8)</f>
        <v>0.43454066949695452</v>
      </c>
      <c r="N8" s="402"/>
      <c r="O8" s="401">
        <f>IS!H15</f>
        <v>115.570875</v>
      </c>
      <c r="P8" s="401">
        <f>IS!I15</f>
        <v>176.29021875000001</v>
      </c>
      <c r="Q8" s="401">
        <f>IS!J15</f>
        <v>229.177284375</v>
      </c>
      <c r="R8" s="401">
        <f>IS!K15</f>
        <v>284.56179476562511</v>
      </c>
      <c r="S8" s="402"/>
      <c r="T8" s="403">
        <f>RATE(4,,-F8,R8)</f>
        <v>0.36219725827260774</v>
      </c>
      <c r="U8" s="402"/>
      <c r="V8" s="404">
        <f t="shared" ref="V8:Y9" si="2">O8-H8</f>
        <v>-5.4291249999999991</v>
      </c>
      <c r="W8" s="404">
        <f t="shared" si="2"/>
        <v>-18.709781249999992</v>
      </c>
      <c r="X8" s="404">
        <f t="shared" si="2"/>
        <v>-31.822715625000001</v>
      </c>
      <c r="Y8" s="404">
        <f t="shared" si="2"/>
        <v>-65.438205234374891</v>
      </c>
      <c r="Z8" s="73"/>
      <c r="AA8" s="403">
        <f>T8-M8</f>
        <v>-7.2343411224346788E-2</v>
      </c>
    </row>
    <row r="9" spans="2:27" x14ac:dyDescent="0.2">
      <c r="B9" s="397" t="s">
        <v>93</v>
      </c>
      <c r="C9" s="366">
        <f>C8/C$5</f>
        <v>0.27149879518072295</v>
      </c>
      <c r="D9" s="366">
        <f>D8/D$5</f>
        <v>0.3059738677887277</v>
      </c>
      <c r="E9" s="366">
        <f>E8/E$5</f>
        <v>0.3791406009640037</v>
      </c>
      <c r="F9" s="389">
        <f>F8/F$5</f>
        <v>0.38761889574695602</v>
      </c>
      <c r="H9" s="366">
        <f>H8/H$5</f>
        <v>0.38658146964856233</v>
      </c>
      <c r="I9" s="366">
        <f>I8/I$5</f>
        <v>0.38844621513944222</v>
      </c>
      <c r="J9" s="366">
        <f>J8/J$5</f>
        <v>0.37716763005780346</v>
      </c>
      <c r="K9" s="366">
        <f>K8/K$5</f>
        <v>0.40091638029782362</v>
      </c>
      <c r="L9" s="38"/>
      <c r="M9" s="38"/>
      <c r="N9" s="38"/>
      <c r="O9" s="366">
        <f>O8/O$5</f>
        <v>0.38105103941706925</v>
      </c>
      <c r="P9" s="366">
        <f>P8/P$5</f>
        <v>0.375</v>
      </c>
      <c r="Q9" s="366">
        <f>Q8/Q$5</f>
        <v>0.37499999999999994</v>
      </c>
      <c r="R9" s="366">
        <f>R8/R$5</f>
        <v>0.37250000000000005</v>
      </c>
      <c r="S9" s="38"/>
      <c r="T9" s="38"/>
      <c r="U9" s="38"/>
      <c r="V9" s="366">
        <f t="shared" si="2"/>
        <v>-5.5304302314930776E-3</v>
      </c>
      <c r="W9" s="366">
        <f t="shared" si="2"/>
        <v>-1.3446215139442219E-2</v>
      </c>
      <c r="X9" s="366">
        <f t="shared" si="2"/>
        <v>-2.1676300578035157E-3</v>
      </c>
      <c r="Y9" s="366">
        <f t="shared" si="2"/>
        <v>-2.8416380297823562E-2</v>
      </c>
      <c r="AA9" s="38"/>
    </row>
    <row r="11" spans="2:27" ht="15" x14ac:dyDescent="0.25">
      <c r="B11" s="181" t="s">
        <v>572</v>
      </c>
      <c r="C11" s="181">
        <f>IS!D54</f>
        <v>21.168000000000006</v>
      </c>
      <c r="D11" s="181">
        <f>IS!E54</f>
        <v>36.817</v>
      </c>
      <c r="E11" s="181">
        <f>IS!F54</f>
        <v>61.250000000000007</v>
      </c>
      <c r="F11" s="400">
        <f>IS!G54</f>
        <v>68.825999999999979</v>
      </c>
      <c r="G11" s="22"/>
      <c r="H11" s="401">
        <f>'Comparables Analysis'!AE6</f>
        <v>83</v>
      </c>
      <c r="I11" s="401">
        <f>'Comparables Analysis'!AF6</f>
        <v>155</v>
      </c>
      <c r="J11" s="401">
        <f>'Comparables Analysis'!AG6</f>
        <v>233</v>
      </c>
      <c r="K11" s="401">
        <f>'Comparables Analysis'!AH6</f>
        <v>296</v>
      </c>
      <c r="L11" s="402"/>
      <c r="M11" s="403">
        <f>RATE(4,,-F11,K11)</f>
        <v>0.44007395289947221</v>
      </c>
      <c r="N11" s="402"/>
      <c r="O11" s="401">
        <f ca="1">IS!H54</f>
        <v>78.047573251462779</v>
      </c>
      <c r="P11" s="401">
        <f ca="1">IS!I54</f>
        <v>131.37291447833042</v>
      </c>
      <c r="Q11" s="401">
        <f ca="1">IS!J54</f>
        <v>164.5154714158304</v>
      </c>
      <c r="R11" s="401">
        <f ca="1">IS!K54</f>
        <v>199.14670096270549</v>
      </c>
      <c r="S11" s="402"/>
      <c r="T11" s="403">
        <f ca="1">RATE(4,,-F11,R11)</f>
        <v>0.30423288564238188</v>
      </c>
      <c r="U11" s="402"/>
      <c r="V11" s="404">
        <f t="shared" ref="V11:Y12" ca="1" si="3">O11-H11</f>
        <v>-4.9524267485372206</v>
      </c>
      <c r="W11" s="404">
        <f t="shared" ca="1" si="3"/>
        <v>-23.627085521669585</v>
      </c>
      <c r="X11" s="404">
        <f t="shared" ca="1" si="3"/>
        <v>-68.484528584169595</v>
      </c>
      <c r="Y11" s="404">
        <f t="shared" ca="1" si="3"/>
        <v>-96.853299037294505</v>
      </c>
      <c r="Z11" s="73"/>
      <c r="AA11" s="403">
        <f ca="1">T11-M11</f>
        <v>-0.13584106725709033</v>
      </c>
    </row>
    <row r="12" spans="2:27" x14ac:dyDescent="0.2">
      <c r="B12" s="397" t="s">
        <v>573</v>
      </c>
      <c r="C12" s="366">
        <f>C11/C$5</f>
        <v>0.20402891566265066</v>
      </c>
      <c r="D12" s="366">
        <f>D11/D$5</f>
        <v>0.25479598051157126</v>
      </c>
      <c r="E12" s="366">
        <f>E11/E$5</f>
        <v>0.34896705750977114</v>
      </c>
      <c r="F12" s="389">
        <f>F11/F$5</f>
        <v>0.32280547061141018</v>
      </c>
      <c r="G12" s="390"/>
      <c r="H12" s="366">
        <f>H11/H$5</f>
        <v>0.26517571884984026</v>
      </c>
      <c r="I12" s="366">
        <f>I11/I$5</f>
        <v>0.30876494023904383</v>
      </c>
      <c r="J12" s="366">
        <f>J11/J$5</f>
        <v>0.33670520231213874</v>
      </c>
      <c r="K12" s="366">
        <f>K11/K$5</f>
        <v>0.33906071019473083</v>
      </c>
      <c r="L12" s="38"/>
      <c r="M12" s="38"/>
      <c r="N12" s="38"/>
      <c r="O12" s="366">
        <f ca="1">O11/O$5</f>
        <v>0.25733221204260798</v>
      </c>
      <c r="P12" s="366">
        <f ca="1">P11/P$5</f>
        <v>0.27945307050323176</v>
      </c>
      <c r="Q12" s="366">
        <f ca="1">Q11/Q$5</f>
        <v>0.2691946627659153</v>
      </c>
      <c r="R12" s="366">
        <f ca="1">R11/R$5</f>
        <v>0.26068905760770444</v>
      </c>
      <c r="S12" s="38"/>
      <c r="T12" s="38"/>
      <c r="U12" s="38"/>
      <c r="V12" s="366">
        <f t="shared" ca="1" si="3"/>
        <v>-7.8435068072322811E-3</v>
      </c>
      <c r="W12" s="366">
        <f t="shared" ca="1" si="3"/>
        <v>-2.9311869735812068E-2</v>
      </c>
      <c r="X12" s="366">
        <f t="shared" ca="1" si="3"/>
        <v>-6.7510539546223436E-2</v>
      </c>
      <c r="Y12" s="366">
        <f t="shared" ca="1" si="3"/>
        <v>-7.8371652587026386E-2</v>
      </c>
    </row>
    <row r="14" spans="2:27" x14ac:dyDescent="0.2">
      <c r="B14" s="1" t="s">
        <v>102</v>
      </c>
      <c r="C14" s="1">
        <f>IS!D56</f>
        <v>8.6470000000000073</v>
      </c>
      <c r="D14" s="1">
        <f>IS!E56</f>
        <v>25.143000000000004</v>
      </c>
      <c r="E14" s="1">
        <f>IS!F56</f>
        <v>33.766000000000012</v>
      </c>
      <c r="F14" s="387">
        <f>IS!G56</f>
        <v>3.9439999999999853</v>
      </c>
      <c r="H14" s="388">
        <f>'Comparables Analysis'!BN6</f>
        <v>32</v>
      </c>
      <c r="I14" s="388">
        <f>'Comparables Analysis'!BO6</f>
        <v>93</v>
      </c>
      <c r="J14" s="388">
        <f>'Comparables Analysis'!BP6</f>
        <v>150</v>
      </c>
      <c r="K14" s="388">
        <f>'Comparables Analysis'!BQ6</f>
        <v>196</v>
      </c>
      <c r="L14" s="388"/>
      <c r="M14" s="87">
        <f>RATE(4,,-F14,K14)</f>
        <v>1.6550933273557746</v>
      </c>
      <c r="N14" s="388"/>
      <c r="O14" s="388">
        <f ca="1">IS!H56</f>
        <v>24.662314065715819</v>
      </c>
      <c r="P14" s="388">
        <f ca="1">IS!I56</f>
        <v>58.083616002603598</v>
      </c>
      <c r="Q14" s="388">
        <f ca="1">IS!J56</f>
        <v>87.605652560410221</v>
      </c>
      <c r="R14" s="388">
        <f ca="1">IS!K56</f>
        <v>115.60045439146884</v>
      </c>
      <c r="S14" s="388"/>
      <c r="T14" s="87">
        <f ca="1">RATE(4,,-F14,R14)</f>
        <v>1.3267818033284597</v>
      </c>
      <c r="U14" s="388"/>
      <c r="V14" s="211">
        <f t="shared" ref="V14:Y15" ca="1" si="4">O14-H14</f>
        <v>-7.3376859342841811</v>
      </c>
      <c r="W14" s="211">
        <f t="shared" ca="1" si="4"/>
        <v>-34.916383997396402</v>
      </c>
      <c r="X14" s="211">
        <f t="shared" ca="1" si="4"/>
        <v>-62.394347439589779</v>
      </c>
      <c r="Y14" s="211">
        <f t="shared" ca="1" si="4"/>
        <v>-80.399545608531156</v>
      </c>
      <c r="AA14" s="87">
        <f ca="1">T14-M14</f>
        <v>-0.32831152402731489</v>
      </c>
    </row>
    <row r="15" spans="2:27" x14ac:dyDescent="0.2">
      <c r="B15" s="397" t="s">
        <v>556</v>
      </c>
      <c r="C15" s="140">
        <f>C14/C$5</f>
        <v>8.3344578313253079E-2</v>
      </c>
      <c r="D15" s="140">
        <f>D14/D$5</f>
        <v>0.17400481674233198</v>
      </c>
      <c r="E15" s="140">
        <f>E14/E$5</f>
        <v>0.19237912920612138</v>
      </c>
      <c r="F15" s="384">
        <f>F14/F$5</f>
        <v>1.8498020749301097E-2</v>
      </c>
      <c r="H15" s="140">
        <f>H14/H$5</f>
        <v>0.10223642172523961</v>
      </c>
      <c r="I15" s="140">
        <f>I14/I$5</f>
        <v>0.1852589641434263</v>
      </c>
      <c r="J15" s="140">
        <f>J14/J$5</f>
        <v>0.21676300578034682</v>
      </c>
      <c r="K15" s="140">
        <f>K14/K$5</f>
        <v>0.22451317296678122</v>
      </c>
      <c r="O15" s="140">
        <f ca="1">O14/O$5</f>
        <v>8.1314608106681022E-2</v>
      </c>
      <c r="P15" s="140">
        <f ca="1">P14/P$5</f>
        <v>0.12355396774375123</v>
      </c>
      <c r="Q15" s="140">
        <f ca="1">Q14/Q$5</f>
        <v>0.14334806261338845</v>
      </c>
      <c r="R15" s="140">
        <f ca="1">R14/R$5</f>
        <v>0.1513244927917636</v>
      </c>
      <c r="V15" s="366">
        <f t="shared" ca="1" si="4"/>
        <v>-2.0921813618558591E-2</v>
      </c>
      <c r="W15" s="366">
        <f t="shared" ca="1" si="4"/>
        <v>-6.1704996399675069E-2</v>
      </c>
      <c r="X15" s="366">
        <f t="shared" ca="1" si="4"/>
        <v>-7.3414943166958374E-2</v>
      </c>
      <c r="Y15" s="366">
        <f t="shared" ca="1" si="4"/>
        <v>-7.3188680175017617E-2</v>
      </c>
    </row>
    <row r="17" spans="2:27" x14ac:dyDescent="0.2">
      <c r="B17" s="1" t="s">
        <v>555</v>
      </c>
      <c r="C17" s="1">
        <f>IS!D77</f>
        <v>0</v>
      </c>
      <c r="D17" s="1">
        <f>IS!E77</f>
        <v>26.586000000000006</v>
      </c>
      <c r="E17" s="1">
        <f>IS!F77</f>
        <v>45.88900000000001</v>
      </c>
      <c r="F17" s="387">
        <f>IS!G77</f>
        <v>35.913999999999987</v>
      </c>
      <c r="H17" s="388">
        <f>H29</f>
        <v>49.1</v>
      </c>
      <c r="I17" s="388">
        <f>I29</f>
        <v>107.2</v>
      </c>
      <c r="J17" s="388">
        <f>J29</f>
        <v>167.9</v>
      </c>
      <c r="K17" s="388">
        <f>K29</f>
        <v>209.9</v>
      </c>
      <c r="L17" s="388"/>
      <c r="M17" s="87">
        <f>RATE(4,,-F17,K17)</f>
        <v>0.55484522793304614</v>
      </c>
      <c r="N17" s="388"/>
      <c r="O17" s="388">
        <f ca="1">IS!H77</f>
        <v>38.048693184371416</v>
      </c>
      <c r="P17" s="388">
        <f ca="1">IS!I77</f>
        <v>73.267373052984567</v>
      </c>
      <c r="Q17" s="388">
        <f ca="1">IS!J77</f>
        <v>102.52633961079121</v>
      </c>
      <c r="R17" s="388">
        <f ca="1">IS!K77</f>
        <v>130.52114144184984</v>
      </c>
      <c r="S17" s="388"/>
      <c r="T17" s="87">
        <f ca="1">RATE(4,,-F17,R17)</f>
        <v>0.38071572545065074</v>
      </c>
      <c r="U17" s="388"/>
      <c r="V17" s="211">
        <f t="shared" ref="V17:Y18" ca="1" si="5">O17-H17</f>
        <v>-11.051306815628585</v>
      </c>
      <c r="W17" s="211">
        <f t="shared" ca="1" si="5"/>
        <v>-33.932626947015436</v>
      </c>
      <c r="X17" s="211">
        <f t="shared" ca="1" si="5"/>
        <v>-65.373660389208794</v>
      </c>
      <c r="Y17" s="211">
        <f t="shared" ca="1" si="5"/>
        <v>-79.378858558150171</v>
      </c>
      <c r="AA17" s="87">
        <f ca="1">T17-M17</f>
        <v>-0.17412950248239539</v>
      </c>
    </row>
    <row r="18" spans="2:27" x14ac:dyDescent="0.2">
      <c r="B18" s="397" t="s">
        <v>556</v>
      </c>
      <c r="C18" s="140">
        <f>C17/C$5</f>
        <v>0</v>
      </c>
      <c r="D18" s="140">
        <f>D17/D$5</f>
        <v>0.18399125235300634</v>
      </c>
      <c r="E18" s="140">
        <f>E17/E$5</f>
        <v>0.26144896819699409</v>
      </c>
      <c r="F18" s="384">
        <f>F17/F$5</f>
        <v>0.16844267677241426</v>
      </c>
      <c r="H18" s="140">
        <f>H17/H$5</f>
        <v>0.15686900958466454</v>
      </c>
      <c r="I18" s="140">
        <f>I17/I$5</f>
        <v>0.21354581673306774</v>
      </c>
      <c r="J18" s="140">
        <f>J17/J$5</f>
        <v>0.24263005780346822</v>
      </c>
      <c r="K18" s="140">
        <f>K17/K$5</f>
        <v>0.24043528064146621</v>
      </c>
      <c r="O18" s="140">
        <f ca="1">O17/O$5</f>
        <v>0.1254511059673632</v>
      </c>
      <c r="P18" s="140">
        <f ca="1">P17/P$5</f>
        <v>0.15585246356652566</v>
      </c>
      <c r="Q18" s="140">
        <f ca="1">Q17/Q$5</f>
        <v>0.16776260116223266</v>
      </c>
      <c r="R18" s="140">
        <f ca="1">R17/R$5</f>
        <v>0.17085612363083899</v>
      </c>
      <c r="V18" s="366">
        <f t="shared" ca="1" si="5"/>
        <v>-3.1417903617301346E-2</v>
      </c>
      <c r="W18" s="366">
        <f t="shared" ca="1" si="5"/>
        <v>-5.7693353166542088E-2</v>
      </c>
      <c r="X18" s="366">
        <f t="shared" ca="1" si="5"/>
        <v>-7.4867456641235564E-2</v>
      </c>
      <c r="Y18" s="366">
        <f t="shared" ca="1" si="5"/>
        <v>-6.9579157010627224E-2</v>
      </c>
    </row>
    <row r="20" spans="2:27" x14ac:dyDescent="0.2">
      <c r="B20" s="1" t="s">
        <v>557</v>
      </c>
      <c r="C20" s="74">
        <f>C14/C25</f>
        <v>5.3949675253776273E-2</v>
      </c>
      <c r="D20" s="74">
        <f>D14/D25</f>
        <v>0.15687020757554018</v>
      </c>
      <c r="E20" s="74">
        <f>E14/E25</f>
        <v>0.21067014393651079</v>
      </c>
      <c r="F20" s="329">
        <f>F14/F25</f>
        <v>2.3625820673791063E-2</v>
      </c>
      <c r="H20" s="74">
        <f>H14/H25</f>
        <v>0.18906343980592591</v>
      </c>
      <c r="I20" s="74">
        <f>I14/I25</f>
        <v>0.54946562193597215</v>
      </c>
      <c r="J20" s="74">
        <f>J14/J25</f>
        <v>0.88623487409027768</v>
      </c>
      <c r="K20" s="74">
        <f>K14/K25</f>
        <v>1.1580135688112962</v>
      </c>
      <c r="M20" s="87">
        <f>RATE(4,,-F20,K20)</f>
        <v>1.6459503234405859</v>
      </c>
      <c r="O20" s="74">
        <f ca="1">O14/O25</f>
        <v>0.14571068533869694</v>
      </c>
      <c r="P20" s="74">
        <f ca="1">P14/P25</f>
        <v>0.34317150743183622</v>
      </c>
      <c r="Q20" s="74">
        <f ca="1">Q14/Q25</f>
        <v>0.51759456310981178</v>
      </c>
      <c r="R20" s="74">
        <f ca="1">R14/R25</f>
        <v>0.68299436094934851</v>
      </c>
      <c r="T20" s="87">
        <f ca="1">RATE(4,,-F20,R20)</f>
        <v>1.3187693636456659</v>
      </c>
      <c r="V20" s="74">
        <f ca="1">O20-H20</f>
        <v>-4.3352754467228971E-2</v>
      </c>
      <c r="W20" s="74">
        <f ca="1">P20-I20</f>
        <v>-0.20629411450413593</v>
      </c>
      <c r="X20" s="74">
        <f ca="1">Q20-J20</f>
        <v>-0.3686403109804659</v>
      </c>
      <c r="Y20" s="74">
        <f ca="1">R20-K20</f>
        <v>-0.47501920786194773</v>
      </c>
      <c r="AA20" s="87">
        <f ca="1">T20-M20</f>
        <v>-0.32718095979492001</v>
      </c>
    </row>
    <row r="21" spans="2:27" x14ac:dyDescent="0.2">
      <c r="H21" s="74"/>
      <c r="I21" s="74"/>
      <c r="J21" s="74"/>
      <c r="K21" s="74"/>
      <c r="O21" s="74"/>
      <c r="P21" s="74"/>
      <c r="Q21" s="74"/>
      <c r="R21" s="74"/>
      <c r="V21" s="74"/>
      <c r="W21" s="74"/>
      <c r="X21" s="74"/>
      <c r="Y21" s="74"/>
    </row>
    <row r="22" spans="2:27" x14ac:dyDescent="0.2">
      <c r="B22" s="1" t="s">
        <v>558</v>
      </c>
      <c r="C22" s="74">
        <f>C17/C25</f>
        <v>0</v>
      </c>
      <c r="D22" s="74">
        <f>D17/D25</f>
        <v>0.1658732585054811</v>
      </c>
      <c r="E22" s="74">
        <f>E17/E25</f>
        <v>0.2863070021649749</v>
      </c>
      <c r="F22" s="329">
        <f>F17/F25</f>
        <v>0.21513633967508497</v>
      </c>
      <c r="H22" s="74">
        <f>H17/H25</f>
        <v>0.29009421545221759</v>
      </c>
      <c r="I22" s="74">
        <f>I17/I25</f>
        <v>0.63336252334985177</v>
      </c>
      <c r="J22" s="74">
        <f>J17/J25</f>
        <v>0.99199223573171746</v>
      </c>
      <c r="K22" s="74">
        <f>K17/K25</f>
        <v>1.2401380004769953</v>
      </c>
      <c r="M22" s="87">
        <f>RATE(4,,-F22,K22)</f>
        <v>0.54949100710019128</v>
      </c>
      <c r="O22" s="74">
        <f ca="1">O17/O25</f>
        <v>0.22480052542367338</v>
      </c>
      <c r="P22" s="74">
        <f ca="1">P17/P25</f>
        <v>0.43288067421691456</v>
      </c>
      <c r="Q22" s="74">
        <f ca="1">Q17/Q25</f>
        <v>0.60574945117271062</v>
      </c>
      <c r="R22" s="74">
        <f ca="1">R17/R25</f>
        <v>0.77114924901224746</v>
      </c>
      <c r="T22" s="87">
        <f ca="1">RATE(4,,-F22,R22)</f>
        <v>0.37596113202318199</v>
      </c>
      <c r="V22" s="74">
        <f ca="1">O22-H22</f>
        <v>-6.529369002854421E-2</v>
      </c>
      <c r="W22" s="74">
        <f ca="1">P22-I22</f>
        <v>-0.20048184913293721</v>
      </c>
      <c r="X22" s="74">
        <f ca="1">Q22-J22</f>
        <v>-0.38624278455900685</v>
      </c>
      <c r="Y22" s="74">
        <f ca="1">R22-K22</f>
        <v>-0.46898875146474783</v>
      </c>
      <c r="AA22" s="87">
        <f ca="1">T22-M22</f>
        <v>-0.17352987507700929</v>
      </c>
    </row>
    <row r="25" spans="2:27" x14ac:dyDescent="0.2">
      <c r="B25" s="13" t="s">
        <v>553</v>
      </c>
      <c r="C25" s="398">
        <f>D25</f>
        <v>160.279</v>
      </c>
      <c r="D25" s="398">
        <f>E25</f>
        <v>160.279</v>
      </c>
      <c r="E25" s="398">
        <v>160.279</v>
      </c>
      <c r="F25" s="399">
        <v>166.93600000000001</v>
      </c>
      <c r="G25" s="13"/>
      <c r="H25" s="405">
        <f>'TSM (SHLS)'!$L$15</f>
        <v>169.255357</v>
      </c>
      <c r="I25" s="405">
        <f>H25</f>
        <v>169.255357</v>
      </c>
      <c r="J25" s="405">
        <f>I25</f>
        <v>169.255357</v>
      </c>
      <c r="K25" s="405">
        <f>J25</f>
        <v>169.255357</v>
      </c>
      <c r="L25" s="406"/>
      <c r="M25" s="406"/>
      <c r="N25" s="406"/>
      <c r="O25" s="405">
        <f>'TSM (SHLS)'!$L$15</f>
        <v>169.255357</v>
      </c>
      <c r="P25" s="405">
        <f>O25</f>
        <v>169.255357</v>
      </c>
      <c r="Q25" s="405">
        <f>P25</f>
        <v>169.255357</v>
      </c>
      <c r="R25" s="405">
        <f>Q25</f>
        <v>169.255357</v>
      </c>
      <c r="S25" s="406"/>
      <c r="T25" s="406"/>
      <c r="U25" s="406"/>
      <c r="V25" s="405">
        <f>'TSM (SHLS)'!$L$15</f>
        <v>169.255357</v>
      </c>
      <c r="W25" s="405">
        <f>V25</f>
        <v>169.255357</v>
      </c>
      <c r="X25" s="405">
        <f>W25</f>
        <v>169.255357</v>
      </c>
      <c r="Y25" s="405">
        <f>X25</f>
        <v>169.255357</v>
      </c>
      <c r="Z25" s="13"/>
      <c r="AA25" s="13"/>
    </row>
    <row r="29" spans="2:27" x14ac:dyDescent="0.2">
      <c r="B29" s="1" t="s">
        <v>571</v>
      </c>
      <c r="H29" s="1">
        <v>49.1</v>
      </c>
      <c r="I29" s="1">
        <v>107.2</v>
      </c>
      <c r="J29" s="1">
        <v>167.9</v>
      </c>
      <c r="K29" s="1">
        <v>209.9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899EE-8A7B-4DBF-9CC7-9BC2A432B418}">
  <sheetPr>
    <tabColor theme="8"/>
  </sheetPr>
  <dimension ref="B2:L159"/>
  <sheetViews>
    <sheetView topLeftCell="A39" workbookViewId="0"/>
  </sheetViews>
  <sheetFormatPr defaultRowHeight="14.25" outlineLevelRow="1" outlineLevelCol="1" x14ac:dyDescent="0.2"/>
  <cols>
    <col min="1" max="2" width="9.140625" style="1"/>
    <col min="3" max="3" width="37.140625" style="1" customWidth="1"/>
    <col min="4" max="5" width="11" style="1" hidden="1" customWidth="1" outlineLevel="1"/>
    <col min="6" max="6" width="11" style="1" customWidth="1" collapsed="1"/>
    <col min="7" max="12" width="11" style="1" customWidth="1"/>
    <col min="13" max="16384" width="9.140625" style="1"/>
  </cols>
  <sheetData>
    <row r="2" spans="2:12" x14ac:dyDescent="0.2">
      <c r="B2" s="1" t="s">
        <v>597</v>
      </c>
    </row>
    <row r="3" spans="2:12" ht="15" x14ac:dyDescent="0.25">
      <c r="D3" s="146">
        <v>2019</v>
      </c>
      <c r="E3" s="146">
        <v>2020</v>
      </c>
      <c r="F3" s="229">
        <v>2021</v>
      </c>
      <c r="G3" s="148">
        <v>2022</v>
      </c>
      <c r="H3" s="146">
        <v>2023</v>
      </c>
      <c r="I3" s="146">
        <f>H3+1</f>
        <v>2024</v>
      </c>
      <c r="J3" s="146">
        <f>I3+1</f>
        <v>2025</v>
      </c>
      <c r="K3" s="146">
        <f>J3+1</f>
        <v>2026</v>
      </c>
      <c r="L3" s="146">
        <f>K3+1</f>
        <v>2027</v>
      </c>
    </row>
    <row r="4" spans="2:12" ht="15" x14ac:dyDescent="0.25">
      <c r="D4" s="149">
        <v>43818</v>
      </c>
      <c r="E4" s="149">
        <f>D4+365</f>
        <v>44183</v>
      </c>
      <c r="F4" s="232">
        <f>E4+365</f>
        <v>44548</v>
      </c>
      <c r="G4" s="151">
        <f t="shared" ref="G4:L4" si="0">F4+365</f>
        <v>44913</v>
      </c>
      <c r="H4" s="149">
        <f t="shared" si="0"/>
        <v>45278</v>
      </c>
      <c r="I4" s="149">
        <f t="shared" si="0"/>
        <v>45643</v>
      </c>
      <c r="J4" s="149">
        <f t="shared" si="0"/>
        <v>46008</v>
      </c>
      <c r="K4" s="149">
        <f t="shared" si="0"/>
        <v>46373</v>
      </c>
      <c r="L4" s="149">
        <f t="shared" si="0"/>
        <v>46738</v>
      </c>
    </row>
    <row r="5" spans="2:12" x14ac:dyDescent="0.2">
      <c r="D5" s="460" t="s">
        <v>90</v>
      </c>
      <c r="E5" s="460" t="s">
        <v>90</v>
      </c>
      <c r="F5" s="461" t="s">
        <v>90</v>
      </c>
      <c r="G5" s="462" t="s">
        <v>91</v>
      </c>
      <c r="H5" s="460" t="s">
        <v>91</v>
      </c>
      <c r="I5" s="460" t="s">
        <v>91</v>
      </c>
      <c r="J5" s="460" t="s">
        <v>91</v>
      </c>
      <c r="K5" s="460" t="s">
        <v>91</v>
      </c>
      <c r="L5" s="460" t="s">
        <v>91</v>
      </c>
    </row>
    <row r="6" spans="2:12" x14ac:dyDescent="0.2">
      <c r="C6" s="179" t="str">
        <f>BS!B9</f>
        <v>Current Assets:</v>
      </c>
      <c r="F6" s="237"/>
    </row>
    <row r="7" spans="2:12" x14ac:dyDescent="0.2">
      <c r="C7" s="1" t="str">
        <f>BS!B10</f>
        <v>Cash and Cash Equivalents</v>
      </c>
      <c r="D7" s="64">
        <f>BS!D10</f>
        <v>7.0819999999999999</v>
      </c>
      <c r="E7" s="64">
        <f>BS!E10</f>
        <v>10.073</v>
      </c>
      <c r="F7" s="243">
        <f>BS!F10</f>
        <v>5.0060000000000002</v>
      </c>
      <c r="G7" s="64">
        <f ca="1">BS!G10</f>
        <v>30.094000000000026</v>
      </c>
      <c r="H7" s="64">
        <f ca="1">BS!H10</f>
        <v>70.094000000000008</v>
      </c>
      <c r="I7" s="64">
        <f ca="1">BS!I10</f>
        <v>168.66345490802803</v>
      </c>
      <c r="J7" s="64">
        <f ca="1">BS!J10</f>
        <v>293.8162101002311</v>
      </c>
      <c r="K7" s="64">
        <f ca="1">BS!K10</f>
        <v>445.54292327203677</v>
      </c>
      <c r="L7" s="64">
        <f ca="1">BS!L10</f>
        <v>622.87717844475185</v>
      </c>
    </row>
    <row r="8" spans="2:12" x14ac:dyDescent="0.2">
      <c r="C8" s="1" t="str">
        <f>BS!B11</f>
        <v>Accounts Receivable, Net</v>
      </c>
      <c r="D8" s="64">
        <f>BS!D11</f>
        <v>27.292000000000002</v>
      </c>
      <c r="E8" s="64">
        <f>BS!E11</f>
        <v>27.004000000000001</v>
      </c>
      <c r="F8" s="243">
        <f>BS!F11</f>
        <v>31.498999999999999</v>
      </c>
      <c r="G8" s="64">
        <f>BS!G11</f>
        <v>44.755178082191769</v>
      </c>
      <c r="H8" s="64">
        <f>BS!H11</f>
        <v>67.13276712328765</v>
      </c>
      <c r="I8" s="64">
        <f>BS!I11</f>
        <v>83.488992486338816</v>
      </c>
      <c r="J8" s="64">
        <f>BS!J11</f>
        <v>104.64716181506851</v>
      </c>
      <c r="K8" s="64">
        <f>BS!K11</f>
        <v>125.5765941780822</v>
      </c>
      <c r="L8" s="64">
        <f>BS!L11</f>
        <v>144.41308330479453</v>
      </c>
    </row>
    <row r="9" spans="2:12" x14ac:dyDescent="0.2">
      <c r="C9" s="1" t="str">
        <f>BS!B12</f>
        <v>Unbilled Receivables, Net</v>
      </c>
      <c r="D9" s="64">
        <f>BS!D12</f>
        <v>2.5049999999999999</v>
      </c>
      <c r="E9" s="64">
        <f>BS!E12</f>
        <v>3.794</v>
      </c>
      <c r="F9" s="243">
        <f>BS!F12</f>
        <v>13.532999999999999</v>
      </c>
      <c r="G9" s="64">
        <f>BS!G12</f>
        <v>13.163287671232874</v>
      </c>
      <c r="H9" s="64">
        <f>BS!H12</f>
        <v>19.744931506849312</v>
      </c>
      <c r="I9" s="64">
        <f>BS!I12</f>
        <v>25.046697745901639</v>
      </c>
      <c r="J9" s="64">
        <f>BS!J12</f>
        <v>31.394148544520551</v>
      </c>
      <c r="K9" s="64">
        <f>BS!K12</f>
        <v>37.67297825342466</v>
      </c>
      <c r="L9" s="64">
        <f>BS!L12</f>
        <v>43.323924991438354</v>
      </c>
    </row>
    <row r="10" spans="2:12" x14ac:dyDescent="0.2">
      <c r="C10" s="1" t="str">
        <f>BS!B13</f>
        <v>Inventory, Net</v>
      </c>
      <c r="D10" s="64">
        <f>BS!D13</f>
        <v>8.8339999999999996</v>
      </c>
      <c r="E10" s="64">
        <f>BS!E13</f>
        <v>15.121</v>
      </c>
      <c r="F10" s="243">
        <f>BS!F13</f>
        <v>38.368000000000002</v>
      </c>
      <c r="G10" s="64">
        <f>BS!G13</f>
        <v>52.804931506849343</v>
      </c>
      <c r="H10" s="64">
        <f>BS!H13</f>
        <v>74.04349315068491</v>
      </c>
      <c r="I10" s="64">
        <f>BS!I13</f>
        <v>62.616744364754105</v>
      </c>
      <c r="J10" s="64">
        <f>BS!J13</f>
        <v>78.799312846746574</v>
      </c>
      <c r="K10" s="64">
        <f>BS!K13</f>
        <v>94.935905198630124</v>
      </c>
      <c r="L10" s="64">
        <f>BS!L13</f>
        <v>109.60953022833903</v>
      </c>
    </row>
    <row r="11" spans="2:12" x14ac:dyDescent="0.2">
      <c r="C11" s="1" t="str">
        <f>BS!B14</f>
        <v>Other Current Assets</v>
      </c>
      <c r="D11" s="64">
        <f>BS!D14</f>
        <v>0.79800000000000004</v>
      </c>
      <c r="E11" s="64">
        <f>BS!E14</f>
        <v>0.155</v>
      </c>
      <c r="F11" s="243">
        <f>BS!F14</f>
        <v>5.0419999999999998</v>
      </c>
      <c r="G11" s="64">
        <f>BS!G14</f>
        <v>7.2068999999999983</v>
      </c>
      <c r="H11" s="64">
        <f>BS!H14</f>
        <v>10.810349999999998</v>
      </c>
      <c r="I11" s="64">
        <f>BS!I14</f>
        <v>18.33418275</v>
      </c>
      <c r="J11" s="64">
        <f>BS!J14</f>
        <v>22.917728437500003</v>
      </c>
      <c r="K11" s="64">
        <f>BS!K14</f>
        <v>27.501274125000002</v>
      </c>
      <c r="L11" s="64">
        <f>BS!L14</f>
        <v>31.626465243750001</v>
      </c>
    </row>
    <row r="12" spans="2:12" ht="15" x14ac:dyDescent="0.25">
      <c r="C12" s="205" t="str">
        <f>BS!B15</f>
        <v>Total Current Assets</v>
      </c>
      <c r="D12" s="457">
        <f>BS!D15</f>
        <v>46.51100000000001</v>
      </c>
      <c r="E12" s="457">
        <f>BS!E15</f>
        <v>56.146999999999998</v>
      </c>
      <c r="F12" s="463">
        <f>BS!F15</f>
        <v>93.448000000000008</v>
      </c>
      <c r="G12" s="457">
        <f ca="1">BS!G15</f>
        <v>148.02429726027401</v>
      </c>
      <c r="H12" s="457">
        <f ca="1">BS!H15</f>
        <v>241.82554178082191</v>
      </c>
      <c r="I12" s="457">
        <f ca="1">BS!I15</f>
        <v>358.15007225502256</v>
      </c>
      <c r="J12" s="457">
        <f ca="1">BS!J15</f>
        <v>531.57456174406673</v>
      </c>
      <c r="K12" s="457">
        <f ca="1">BS!K15</f>
        <v>731.22967502717381</v>
      </c>
      <c r="L12" s="457">
        <f ca="1">BS!L15</f>
        <v>951.85018221307382</v>
      </c>
    </row>
    <row r="13" spans="2:12" ht="4.5" customHeight="1" x14ac:dyDescent="0.2">
      <c r="D13" s="64"/>
      <c r="E13" s="64"/>
      <c r="F13" s="243"/>
      <c r="G13" s="64"/>
      <c r="H13" s="64"/>
      <c r="I13" s="64"/>
      <c r="J13" s="64"/>
      <c r="K13" s="64"/>
      <c r="L13" s="64"/>
    </row>
    <row r="14" spans="2:12" x14ac:dyDescent="0.2">
      <c r="C14" s="1" t="str">
        <f>BS!B17</f>
        <v>Property, Plant and Equipment, Net</v>
      </c>
      <c r="D14" s="64">
        <f>BS!D17</f>
        <v>10.946999999999999</v>
      </c>
      <c r="E14" s="64">
        <f>BS!E17</f>
        <v>12.763</v>
      </c>
      <c r="F14" s="243">
        <f>BS!F17</f>
        <v>15.574</v>
      </c>
      <c r="G14" s="64">
        <f>BS!G17</f>
        <v>16.056185999999997</v>
      </c>
      <c r="H14" s="64">
        <f>BS!H17</f>
        <v>15.86486025</v>
      </c>
      <c r="I14" s="64">
        <f>BS!I17</f>
        <v>16.002609575000001</v>
      </c>
      <c r="J14" s="64">
        <f>BS!J17</f>
        <v>16.29314375625</v>
      </c>
      <c r="K14" s="64">
        <f>BS!K17</f>
        <v>16.430893081250002</v>
      </c>
      <c r="L14" s="64">
        <f>BS!L17</f>
        <v>17.102968466874998</v>
      </c>
    </row>
    <row r="15" spans="2:12" x14ac:dyDescent="0.2">
      <c r="C15" s="1" t="str">
        <f>BS!B18</f>
        <v>Goodwill</v>
      </c>
      <c r="D15" s="64">
        <f>BS!D18</f>
        <v>50.176000000000002</v>
      </c>
      <c r="E15" s="64">
        <f>BS!E18</f>
        <v>50.176000000000002</v>
      </c>
      <c r="F15" s="243">
        <f>BS!F18</f>
        <v>69.436000000000007</v>
      </c>
      <c r="G15" s="64">
        <f>BS!G18</f>
        <v>69.941000000000003</v>
      </c>
      <c r="H15" s="64">
        <f>BS!H18</f>
        <v>69.941000000000003</v>
      </c>
      <c r="I15" s="64">
        <f>BS!I18</f>
        <v>69.941000000000003</v>
      </c>
      <c r="J15" s="64">
        <f>BS!J18</f>
        <v>69.941000000000003</v>
      </c>
      <c r="K15" s="64">
        <f>BS!K18</f>
        <v>69.941000000000003</v>
      </c>
      <c r="L15" s="64">
        <f>BS!L18</f>
        <v>69.941000000000003</v>
      </c>
    </row>
    <row r="16" spans="2:12" x14ac:dyDescent="0.2">
      <c r="C16" s="1" t="str">
        <f>BS!B19</f>
        <v>Intangible Assets, Net</v>
      </c>
      <c r="D16" s="64">
        <f>BS!D19</f>
        <v>79.972999999999999</v>
      </c>
      <c r="E16" s="64">
        <f>BS!E19</f>
        <v>71.988</v>
      </c>
      <c r="F16" s="243">
        <f>BS!F19</f>
        <v>65.236000000000004</v>
      </c>
      <c r="G16" s="64">
        <f>BS!G19</f>
        <v>56.576000000000001</v>
      </c>
      <c r="H16" s="64">
        <f>BS!H19</f>
        <v>48.657999999999994</v>
      </c>
      <c r="I16" s="64">
        <f>BS!I19</f>
        <v>41.072999999999993</v>
      </c>
      <c r="J16" s="64">
        <f>BS!J19</f>
        <v>33.487999999999992</v>
      </c>
      <c r="K16" s="64">
        <f>BS!K19</f>
        <v>25.902999999999992</v>
      </c>
      <c r="L16" s="64">
        <f>BS!L19</f>
        <v>18.317999999999991</v>
      </c>
    </row>
    <row r="17" spans="3:12" x14ac:dyDescent="0.2">
      <c r="C17" s="1" t="str">
        <f>BS!B20</f>
        <v>Deferred Tax Asset</v>
      </c>
      <c r="D17" s="64">
        <f>BS!D20</f>
        <v>0</v>
      </c>
      <c r="E17" s="64">
        <f>BS!E20</f>
        <v>0</v>
      </c>
      <c r="F17" s="243">
        <f>BS!F20</f>
        <v>176.958</v>
      </c>
      <c r="G17" s="64">
        <f>BS!G20</f>
        <v>175.059</v>
      </c>
      <c r="H17" s="64">
        <f>BS!H20</f>
        <v>175.059</v>
      </c>
      <c r="I17" s="64">
        <f>BS!I20</f>
        <v>175.059</v>
      </c>
      <c r="J17" s="64">
        <f>BS!J20</f>
        <v>175.059</v>
      </c>
      <c r="K17" s="64">
        <f>BS!K20</f>
        <v>175.059</v>
      </c>
      <c r="L17" s="64">
        <f>BS!L20</f>
        <v>175.059</v>
      </c>
    </row>
    <row r="18" spans="3:12" x14ac:dyDescent="0.2">
      <c r="C18" s="1" t="str">
        <f>BS!B21</f>
        <v>Other Assets</v>
      </c>
      <c r="D18" s="64">
        <f>BS!D21</f>
        <v>0</v>
      </c>
      <c r="E18" s="64">
        <f>BS!E21</f>
        <v>4.2359999999999998</v>
      </c>
      <c r="F18" s="243">
        <f>BS!F21</f>
        <v>5.7619999999999996</v>
      </c>
      <c r="G18" s="64">
        <f>BS!G21</f>
        <v>17.771000000000001</v>
      </c>
      <c r="H18" s="64">
        <f>BS!H21</f>
        <v>17.771000000000001</v>
      </c>
      <c r="I18" s="64">
        <f>BS!I21</f>
        <v>17.771000000000001</v>
      </c>
      <c r="J18" s="64">
        <f>BS!J21</f>
        <v>17.771000000000001</v>
      </c>
      <c r="K18" s="64">
        <f>BS!K21</f>
        <v>17.771000000000001</v>
      </c>
      <c r="L18" s="64">
        <f>BS!L21</f>
        <v>17.771000000000001</v>
      </c>
    </row>
    <row r="19" spans="3:12" ht="15" x14ac:dyDescent="0.25">
      <c r="C19" s="205" t="str">
        <f>BS!B22</f>
        <v>Total Assets</v>
      </c>
      <c r="D19" s="457">
        <f>BS!D22</f>
        <v>187.60700000000003</v>
      </c>
      <c r="E19" s="457">
        <f>BS!E22</f>
        <v>195.30999999999997</v>
      </c>
      <c r="F19" s="463">
        <f>BS!F22</f>
        <v>426.41399999999999</v>
      </c>
      <c r="G19" s="457">
        <f ca="1">BS!G22</f>
        <v>483.42748326027402</v>
      </c>
      <c r="H19" s="457">
        <f ca="1">BS!H22</f>
        <v>569.1194020308219</v>
      </c>
      <c r="I19" s="457">
        <f ca="1">BS!I22</f>
        <v>677.99668183002257</v>
      </c>
      <c r="J19" s="457">
        <f ca="1">BS!J22</f>
        <v>844.1267055003168</v>
      </c>
      <c r="K19" s="457">
        <f ca="1">BS!K22</f>
        <v>1036.3345681084238</v>
      </c>
      <c r="L19" s="457">
        <f ca="1">BS!L22</f>
        <v>1250.0421506799489</v>
      </c>
    </row>
    <row r="20" spans="3:12" ht="4.5" customHeight="1" x14ac:dyDescent="0.2">
      <c r="D20" s="64"/>
      <c r="E20" s="64"/>
      <c r="F20" s="243"/>
      <c r="G20" s="64"/>
      <c r="H20" s="64"/>
      <c r="I20" s="64"/>
      <c r="J20" s="64"/>
      <c r="K20" s="64"/>
      <c r="L20" s="64"/>
    </row>
    <row r="21" spans="3:12" x14ac:dyDescent="0.2">
      <c r="C21" s="1" t="str">
        <f>BS!B24</f>
        <v>Liabilities &amp; Equity:</v>
      </c>
      <c r="D21" s="64"/>
      <c r="E21" s="64"/>
      <c r="F21" s="243"/>
      <c r="G21" s="64"/>
      <c r="H21" s="64"/>
      <c r="I21" s="64"/>
      <c r="J21" s="64"/>
      <c r="K21" s="64"/>
      <c r="L21" s="64"/>
    </row>
    <row r="22" spans="3:12" ht="4.5" customHeight="1" x14ac:dyDescent="0.2">
      <c r="D22" s="64"/>
      <c r="E22" s="64"/>
      <c r="F22" s="243"/>
      <c r="G22" s="64"/>
      <c r="H22" s="64"/>
      <c r="I22" s="64"/>
      <c r="J22" s="64"/>
      <c r="K22" s="64"/>
      <c r="L22" s="64"/>
    </row>
    <row r="23" spans="3:12" x14ac:dyDescent="0.2">
      <c r="C23" s="179" t="str">
        <f>BS!B26</f>
        <v>Current Liabilities:</v>
      </c>
      <c r="D23" s="64"/>
      <c r="E23" s="64"/>
      <c r="F23" s="243"/>
      <c r="G23" s="64"/>
      <c r="H23" s="64"/>
      <c r="I23" s="64"/>
      <c r="J23" s="64"/>
      <c r="K23" s="64"/>
      <c r="L23" s="64"/>
    </row>
    <row r="24" spans="3:12" x14ac:dyDescent="0.2">
      <c r="C24" s="1" t="str">
        <f>BS!B27</f>
        <v>Accounts Payable</v>
      </c>
      <c r="D24" s="64">
        <f>BS!D27</f>
        <v>10.382999999999999</v>
      </c>
      <c r="E24" s="64">
        <f>BS!E27</f>
        <v>14.634</v>
      </c>
      <c r="F24" s="243">
        <f>BS!F27</f>
        <v>19.984999999999999</v>
      </c>
      <c r="G24" s="64">
        <f>BS!G27</f>
        <v>17.601643835616446</v>
      </c>
      <c r="H24" s="64">
        <f>BS!H27</f>
        <v>24.681164383561637</v>
      </c>
      <c r="I24" s="64">
        <f>BS!I27</f>
        <v>41.744496243169408</v>
      </c>
      <c r="J24" s="64">
        <f>BS!J27</f>
        <v>52.532875231164383</v>
      </c>
      <c r="K24" s="64">
        <f>BS!K27</f>
        <v>63.290603465753414</v>
      </c>
      <c r="L24" s="64">
        <f>BS!L27</f>
        <v>73.073020152226007</v>
      </c>
    </row>
    <row r="25" spans="3:12" x14ac:dyDescent="0.2">
      <c r="C25" s="1" t="str">
        <f>BS!B28</f>
        <v>Accrued Expenses</v>
      </c>
      <c r="D25" s="64">
        <f>BS!D28</f>
        <v>1.264</v>
      </c>
      <c r="E25" s="64">
        <f>BS!E28</f>
        <v>5.9669999999999996</v>
      </c>
      <c r="F25" s="243">
        <f>BS!F28</f>
        <v>9.5690000000000008</v>
      </c>
      <c r="G25" s="64">
        <f>BS!G28</f>
        <v>16.061500000000009</v>
      </c>
      <c r="H25" s="64">
        <f>BS!H28</f>
        <v>22.521562499999995</v>
      </c>
      <c r="I25" s="64">
        <f>BS!I28</f>
        <v>55.002548250000004</v>
      </c>
      <c r="J25" s="64">
        <f>BS!J28</f>
        <v>68.753185312500008</v>
      </c>
      <c r="K25" s="64">
        <f>BS!K28</f>
        <v>82.503822375000013</v>
      </c>
      <c r="L25" s="64">
        <f>BS!L28</f>
        <v>94.87939573125</v>
      </c>
    </row>
    <row r="26" spans="3:12" x14ac:dyDescent="0.2">
      <c r="C26" s="1" t="str">
        <f>BS!B29</f>
        <v>Payable pursuant to TRA</v>
      </c>
      <c r="D26" s="64">
        <f>BS!D29</f>
        <v>0</v>
      </c>
      <c r="E26" s="64">
        <f>BS!E29</f>
        <v>0</v>
      </c>
      <c r="F26" s="243">
        <f>BS!F29</f>
        <v>0</v>
      </c>
      <c r="G26" s="64">
        <f>BS!G29</f>
        <v>3.5830000000000002</v>
      </c>
      <c r="H26" s="64">
        <f>BS!H29</f>
        <v>3.5830000000000002</v>
      </c>
      <c r="I26" s="64">
        <f>BS!I29</f>
        <v>3.5830000000000002</v>
      </c>
      <c r="J26" s="64">
        <f>BS!J29</f>
        <v>3.5830000000000002</v>
      </c>
      <c r="K26" s="64">
        <f>BS!K29</f>
        <v>3.5830000000000002</v>
      </c>
      <c r="L26" s="64">
        <f>BS!L29</f>
        <v>3.5830000000000002</v>
      </c>
    </row>
    <row r="27" spans="3:12" x14ac:dyDescent="0.2">
      <c r="C27" s="1" t="str">
        <f>BS!B30</f>
        <v>Long-Term Debt - Current Portion</v>
      </c>
      <c r="D27" s="64">
        <f>BS!D30</f>
        <v>12.894</v>
      </c>
      <c r="E27" s="64">
        <f>BS!E30</f>
        <v>3.5</v>
      </c>
      <c r="F27" s="243">
        <f>BS!F30</f>
        <v>2</v>
      </c>
      <c r="G27" s="64">
        <f>BS!G30</f>
        <v>2</v>
      </c>
      <c r="H27" s="64">
        <f>BS!H30</f>
        <v>2</v>
      </c>
      <c r="I27" s="64">
        <f>BS!I30</f>
        <v>2</v>
      </c>
      <c r="J27" s="64">
        <f>BS!J30</f>
        <v>2</v>
      </c>
      <c r="K27" s="64">
        <f>BS!K30</f>
        <v>2</v>
      </c>
      <c r="L27" s="64">
        <f>BS!L30</f>
        <v>2</v>
      </c>
    </row>
    <row r="28" spans="3:12" ht="15" x14ac:dyDescent="0.25">
      <c r="C28" s="205" t="str">
        <f>BS!B31</f>
        <v>Total Current Liabilities</v>
      </c>
      <c r="D28" s="457">
        <f>BS!D31</f>
        <v>24.540999999999997</v>
      </c>
      <c r="E28" s="457">
        <f>BS!E31</f>
        <v>24.100999999999999</v>
      </c>
      <c r="F28" s="463">
        <f>BS!F31</f>
        <v>31.554000000000002</v>
      </c>
      <c r="G28" s="457">
        <f>BS!G31</f>
        <v>39.246143835616451</v>
      </c>
      <c r="H28" s="457">
        <f>BS!H31</f>
        <v>52.78572688356163</v>
      </c>
      <c r="I28" s="457">
        <f>BS!I31</f>
        <v>102.33004449316941</v>
      </c>
      <c r="J28" s="457">
        <f>BS!J31</f>
        <v>126.86906054366439</v>
      </c>
      <c r="K28" s="457">
        <f>BS!K31</f>
        <v>151.37742584075343</v>
      </c>
      <c r="L28" s="457">
        <f>BS!L31</f>
        <v>173.53541588347602</v>
      </c>
    </row>
    <row r="29" spans="3:12" ht="4.5" customHeight="1" x14ac:dyDescent="0.2">
      <c r="D29" s="64"/>
      <c r="E29" s="64"/>
      <c r="F29" s="243"/>
      <c r="G29" s="64"/>
      <c r="H29" s="64"/>
      <c r="I29" s="64"/>
      <c r="J29" s="64"/>
      <c r="K29" s="64"/>
      <c r="L29" s="64"/>
    </row>
    <row r="30" spans="3:12" x14ac:dyDescent="0.2">
      <c r="C30" s="1" t="str">
        <f>BS!B33</f>
        <v>Revolving Line of Credit</v>
      </c>
      <c r="D30" s="64">
        <f>BS!D33</f>
        <v>0</v>
      </c>
      <c r="E30" s="64">
        <f>BS!E33</f>
        <v>20</v>
      </c>
      <c r="F30" s="243">
        <f>BS!F33</f>
        <v>55.14</v>
      </c>
      <c r="G30" s="64">
        <f ca="1">BS!G33</f>
        <v>66.185077107478932</v>
      </c>
      <c r="H30" s="64">
        <f ca="1">BS!H33</f>
        <v>54.263243599147671</v>
      </c>
      <c r="I30" s="64">
        <f ca="1">BS!I33</f>
        <v>0</v>
      </c>
      <c r="J30" s="64">
        <f ca="1">BS!J33</f>
        <v>0</v>
      </c>
      <c r="K30" s="64">
        <f ca="1">BS!K33</f>
        <v>0</v>
      </c>
      <c r="L30" s="64">
        <f ca="1">BS!L33</f>
        <v>0</v>
      </c>
    </row>
    <row r="31" spans="3:12" x14ac:dyDescent="0.2">
      <c r="C31" s="1" t="str">
        <f>BS!B34</f>
        <v>Long-Term Debt, Less Current Portion</v>
      </c>
      <c r="D31" s="64">
        <f>BS!D34</f>
        <v>13.16</v>
      </c>
      <c r="E31" s="64">
        <f>BS!E34</f>
        <v>335.33199999999999</v>
      </c>
      <c r="F31" s="243">
        <f>BS!F34</f>
        <v>189.91300000000001</v>
      </c>
      <c r="G31" s="64">
        <f ca="1">BS!G34</f>
        <v>189.51499999999999</v>
      </c>
      <c r="H31" s="64">
        <f ca="1">BS!H34</f>
        <v>189.51499999999999</v>
      </c>
      <c r="I31" s="64">
        <f ca="1">BS!I34</f>
        <v>189.51499999999999</v>
      </c>
      <c r="J31" s="64">
        <f ca="1">BS!J34</f>
        <v>189.51499999999999</v>
      </c>
      <c r="K31" s="64">
        <f ca="1">BS!K34</f>
        <v>189.51499999999999</v>
      </c>
      <c r="L31" s="64">
        <f ca="1">BS!L34</f>
        <v>189.51499999999999</v>
      </c>
    </row>
    <row r="32" spans="3:12" x14ac:dyDescent="0.2">
      <c r="C32" s="1" t="str">
        <f>BS!B35</f>
        <v>TRA Liability</v>
      </c>
      <c r="D32" s="64">
        <f>BS!D35</f>
        <v>0</v>
      </c>
      <c r="E32" s="64">
        <f>BS!E35</f>
        <v>0</v>
      </c>
      <c r="F32" s="243">
        <f>BS!F35</f>
        <v>156.374</v>
      </c>
      <c r="G32" s="64">
        <f>BS!G35</f>
        <v>153.59100000000001</v>
      </c>
      <c r="H32" s="64">
        <f>BS!H35</f>
        <v>153.59100000000001</v>
      </c>
      <c r="I32" s="64">
        <f>BS!I35</f>
        <v>153.59100000000001</v>
      </c>
      <c r="J32" s="64">
        <f>BS!J35</f>
        <v>153.59100000000001</v>
      </c>
      <c r="K32" s="64">
        <f>BS!K35</f>
        <v>153.59100000000001</v>
      </c>
      <c r="L32" s="64">
        <f>BS!L35</f>
        <v>153.59100000000001</v>
      </c>
    </row>
    <row r="33" spans="3:12" x14ac:dyDescent="0.2">
      <c r="C33" s="1" t="str">
        <f>BS!B36</f>
        <v>Other Long-term Liabilities</v>
      </c>
      <c r="D33" s="64">
        <f>BS!D36</f>
        <v>0</v>
      </c>
      <c r="E33" s="64">
        <f>BS!E36</f>
        <v>0</v>
      </c>
      <c r="F33" s="243">
        <f>BS!F36</f>
        <v>0.93100000000000005</v>
      </c>
      <c r="G33" s="64">
        <f>BS!G36</f>
        <v>4.7930000000000001</v>
      </c>
      <c r="H33" s="64">
        <f>BS!H36</f>
        <v>4.7930000000000001</v>
      </c>
      <c r="I33" s="64">
        <f>BS!I36</f>
        <v>4.7930000000000001</v>
      </c>
      <c r="J33" s="64">
        <f>BS!J36</f>
        <v>4.7930000000000001</v>
      </c>
      <c r="K33" s="64">
        <f>BS!K36</f>
        <v>4.7930000000000001</v>
      </c>
      <c r="L33" s="64">
        <f>BS!L36</f>
        <v>4.7930000000000001</v>
      </c>
    </row>
    <row r="34" spans="3:12" hidden="1" outlineLevel="1" x14ac:dyDescent="0.2">
      <c r="C34" s="1" t="str">
        <f>BS!B37</f>
        <v>$100.0M Revolver</v>
      </c>
      <c r="D34" s="64">
        <f>BS!D37</f>
        <v>0</v>
      </c>
      <c r="E34" s="64">
        <f>BS!E37</f>
        <v>0</v>
      </c>
      <c r="F34" s="243">
        <f>BS!F37</f>
        <v>0</v>
      </c>
      <c r="G34" s="64">
        <f>BS!G37</f>
        <v>0</v>
      </c>
      <c r="H34" s="64">
        <f>BS!H37</f>
        <v>0</v>
      </c>
      <c r="I34" s="64">
        <f>BS!I37</f>
        <v>0</v>
      </c>
      <c r="J34" s="64">
        <f>BS!J37</f>
        <v>0</v>
      </c>
      <c r="K34" s="64">
        <f>BS!K37</f>
        <v>0</v>
      </c>
      <c r="L34" s="64">
        <f>BS!L37</f>
        <v>0</v>
      </c>
    </row>
    <row r="35" spans="3:12" hidden="1" outlineLevel="1" x14ac:dyDescent="0.2">
      <c r="C35" s="1" t="str">
        <f>BS!B38</f>
        <v>Term Loan</v>
      </c>
      <c r="D35" s="64">
        <f>BS!D38</f>
        <v>0</v>
      </c>
      <c r="E35" s="64">
        <f>BS!E38</f>
        <v>0</v>
      </c>
      <c r="F35" s="243">
        <f>BS!F38</f>
        <v>0</v>
      </c>
      <c r="G35" s="64">
        <f>BS!G38</f>
        <v>0</v>
      </c>
      <c r="H35" s="64">
        <f>BS!H38</f>
        <v>0</v>
      </c>
      <c r="I35" s="64">
        <f>BS!I38</f>
        <v>0</v>
      </c>
      <c r="J35" s="64">
        <f>BS!J38</f>
        <v>0</v>
      </c>
      <c r="K35" s="64">
        <f>BS!K38</f>
        <v>0</v>
      </c>
      <c r="L35" s="64">
        <f>BS!L38</f>
        <v>0</v>
      </c>
    </row>
    <row r="36" spans="3:12" ht="15" collapsed="1" x14ac:dyDescent="0.25">
      <c r="C36" s="205" t="str">
        <f>BS!B39</f>
        <v>Total Liabilities</v>
      </c>
      <c r="D36" s="457">
        <f>BS!D39</f>
        <v>37.700999999999993</v>
      </c>
      <c r="E36" s="457">
        <f>BS!E39</f>
        <v>379.43299999999999</v>
      </c>
      <c r="F36" s="463">
        <f>BS!F39</f>
        <v>433.91200000000003</v>
      </c>
      <c r="G36" s="457">
        <f ca="1">BS!G39</f>
        <v>453.33022094309541</v>
      </c>
      <c r="H36" s="457">
        <f ca="1">BS!H39</f>
        <v>454.94797048270931</v>
      </c>
      <c r="I36" s="457">
        <f ca="1">BS!I39</f>
        <v>450.2290444931694</v>
      </c>
      <c r="J36" s="457">
        <f ca="1">BS!J39</f>
        <v>474.76806054366438</v>
      </c>
      <c r="K36" s="457">
        <f ca="1">BS!K39</f>
        <v>499.2764258407534</v>
      </c>
      <c r="L36" s="457">
        <f ca="1">BS!L39</f>
        <v>521.43441588347605</v>
      </c>
    </row>
    <row r="37" spans="3:12" ht="4.5" customHeight="1" x14ac:dyDescent="0.2">
      <c r="D37" s="64"/>
      <c r="E37" s="64"/>
      <c r="F37" s="243"/>
      <c r="G37" s="64"/>
      <c r="H37" s="64"/>
      <c r="I37" s="64"/>
      <c r="J37" s="64"/>
      <c r="K37" s="64"/>
      <c r="L37" s="64"/>
    </row>
    <row r="38" spans="3:12" x14ac:dyDescent="0.2">
      <c r="C38" s="179" t="str">
        <f>BS!B41</f>
        <v>Equity:</v>
      </c>
      <c r="D38" s="64"/>
      <c r="E38" s="64"/>
      <c r="F38" s="243"/>
      <c r="G38" s="64"/>
      <c r="H38" s="64"/>
      <c r="I38" s="64"/>
      <c r="J38" s="64"/>
      <c r="K38" s="64"/>
      <c r="L38" s="64"/>
    </row>
    <row r="39" spans="3:12" x14ac:dyDescent="0.2">
      <c r="C39" s="1" t="str">
        <f>BS!B42</f>
        <v>Paid-in Capital</v>
      </c>
      <c r="D39" s="64">
        <f>BS!D42</f>
        <v>0</v>
      </c>
      <c r="E39" s="64">
        <f>BS!E42</f>
        <v>0</v>
      </c>
      <c r="F39" s="243">
        <f>BS!F42</f>
        <v>95.683999999999997</v>
      </c>
      <c r="G39" s="64">
        <f>BS!G42</f>
        <v>101.24299999999999</v>
      </c>
      <c r="H39" s="64">
        <f>BS!H42</f>
        <v>101.24299999999999</v>
      </c>
      <c r="I39" s="64">
        <f>BS!I42</f>
        <v>101.24299999999999</v>
      </c>
      <c r="J39" s="64">
        <f>BS!J42</f>
        <v>101.24299999999999</v>
      </c>
      <c r="K39" s="64">
        <f>BS!K42</f>
        <v>101.24299999999999</v>
      </c>
      <c r="L39" s="64">
        <f>BS!L42</f>
        <v>101.24299999999999</v>
      </c>
    </row>
    <row r="40" spans="3:12" x14ac:dyDescent="0.2">
      <c r="C40" s="1" t="str">
        <f>BS!B43</f>
        <v>Other Stockholders Equity</v>
      </c>
      <c r="D40" s="64">
        <f>BS!D43</f>
        <v>149.90600000000001</v>
      </c>
      <c r="E40" s="64">
        <f>BS!E43</f>
        <v>-184.12299999999999</v>
      </c>
      <c r="F40" s="243">
        <f>BS!F43</f>
        <v>-93.132999999999996</v>
      </c>
      <c r="G40" s="64">
        <f ca="1">BS!G43</f>
        <v>-64.433737682821388</v>
      </c>
      <c r="H40" s="64">
        <f ca="1">BS!H43</f>
        <v>19.640431548112566</v>
      </c>
      <c r="I40" s="64">
        <f ca="1">BS!I43</f>
        <v>133.23663733685316</v>
      </c>
      <c r="J40" s="64">
        <f ca="1">BS!J43</f>
        <v>274.82764495665242</v>
      </c>
      <c r="K40" s="64">
        <f ca="1">BS!K43</f>
        <v>442.5271422676704</v>
      </c>
      <c r="L40" s="64">
        <f ca="1">BS!L43</f>
        <v>634.07673479647269</v>
      </c>
    </row>
    <row r="41" spans="3:12" ht="15" x14ac:dyDescent="0.25">
      <c r="C41" s="205" t="str">
        <f>BS!B44</f>
        <v>Total Equity</v>
      </c>
      <c r="D41" s="457">
        <f>BS!D44</f>
        <v>149.90600000000001</v>
      </c>
      <c r="E41" s="457">
        <f>BS!E44</f>
        <v>-184.12299999999999</v>
      </c>
      <c r="F41" s="463">
        <f>BS!F44</f>
        <v>2.5510000000000019</v>
      </c>
      <c r="G41" s="457">
        <f ca="1">BS!G44</f>
        <v>36.809262317178607</v>
      </c>
      <c r="H41" s="457">
        <f ca="1">BS!H44</f>
        <v>120.88343154811255</v>
      </c>
      <c r="I41" s="457">
        <f ca="1">BS!I44</f>
        <v>234.47963733685316</v>
      </c>
      <c r="J41" s="457">
        <f ca="1">BS!J44</f>
        <v>376.07064495665242</v>
      </c>
      <c r="K41" s="457">
        <f ca="1">BS!K44</f>
        <v>543.77014226767039</v>
      </c>
      <c r="L41" s="457">
        <f ca="1">BS!L44</f>
        <v>735.31973479647263</v>
      </c>
    </row>
    <row r="42" spans="3:12" ht="4.5" customHeight="1" x14ac:dyDescent="0.2">
      <c r="D42" s="64"/>
      <c r="E42" s="64"/>
      <c r="F42" s="243"/>
      <c r="G42" s="64"/>
      <c r="H42" s="64"/>
      <c r="I42" s="64"/>
      <c r="J42" s="64"/>
      <c r="K42" s="64"/>
      <c r="L42" s="64"/>
    </row>
    <row r="43" spans="3:12" x14ac:dyDescent="0.2">
      <c r="C43" s="1" t="str">
        <f>BS!B46</f>
        <v>Non-Controlling Interest</v>
      </c>
      <c r="D43" s="64">
        <f>BS!D46</f>
        <v>0</v>
      </c>
      <c r="E43" s="64">
        <f>BS!E46</f>
        <v>0</v>
      </c>
      <c r="F43" s="243">
        <f>BS!F46</f>
        <v>-10.051</v>
      </c>
      <c r="G43" s="64">
        <f>BS!G46</f>
        <v>-6.7140000000000004</v>
      </c>
      <c r="H43" s="64">
        <f>BS!H46</f>
        <v>-6.7140000000000004</v>
      </c>
      <c r="I43" s="64">
        <f>BS!I46</f>
        <v>-6.7140000000000004</v>
      </c>
      <c r="J43" s="64">
        <f>BS!J46</f>
        <v>-6.7140000000000004</v>
      </c>
      <c r="K43" s="64">
        <f>BS!K46</f>
        <v>-6.7140000000000004</v>
      </c>
      <c r="L43" s="64">
        <f>BS!L46</f>
        <v>-6.7140000000000004</v>
      </c>
    </row>
    <row r="44" spans="3:12" ht="4.5" customHeight="1" x14ac:dyDescent="0.2">
      <c r="D44" s="64"/>
      <c r="E44" s="64"/>
      <c r="F44" s="243"/>
      <c r="G44" s="64"/>
      <c r="H44" s="64"/>
      <c r="I44" s="64"/>
      <c r="J44" s="64"/>
      <c r="K44" s="64"/>
      <c r="L44" s="64"/>
    </row>
    <row r="45" spans="3:12" ht="15" x14ac:dyDescent="0.25">
      <c r="C45" s="205" t="str">
        <f>BS!B48</f>
        <v>Total Liabilities &amp; Equity</v>
      </c>
      <c r="D45" s="457">
        <f>BS!D48</f>
        <v>187.607</v>
      </c>
      <c r="E45" s="457">
        <f>BS!E48</f>
        <v>195.31</v>
      </c>
      <c r="F45" s="463">
        <f>BS!F48</f>
        <v>426.41200000000003</v>
      </c>
      <c r="G45" s="457">
        <f ca="1">BS!G48</f>
        <v>483.42548326027401</v>
      </c>
      <c r="H45" s="457">
        <f ca="1">BS!H48</f>
        <v>569.11740203082184</v>
      </c>
      <c r="I45" s="457">
        <f ca="1">BS!I48</f>
        <v>677.9946818300225</v>
      </c>
      <c r="J45" s="457">
        <f ca="1">BS!J48</f>
        <v>844.12470550031674</v>
      </c>
      <c r="K45" s="457">
        <f ca="1">BS!K48</f>
        <v>1036.3325681084239</v>
      </c>
      <c r="L45" s="457">
        <f ca="1">BS!L48</f>
        <v>1250.0401506799487</v>
      </c>
    </row>
    <row r="50" spans="3:12" ht="15" x14ac:dyDescent="0.25">
      <c r="D50" s="146">
        <v>2019</v>
      </c>
      <c r="E50" s="146">
        <v>2020</v>
      </c>
      <c r="F50" s="229">
        <v>2021</v>
      </c>
      <c r="G50" s="148">
        <v>2022</v>
      </c>
      <c r="H50" s="146">
        <v>2023</v>
      </c>
      <c r="I50" s="146">
        <f>H50+1</f>
        <v>2024</v>
      </c>
      <c r="J50" s="146">
        <f>I50+1</f>
        <v>2025</v>
      </c>
      <c r="K50" s="146">
        <f>J50+1</f>
        <v>2026</v>
      </c>
      <c r="L50" s="146">
        <f>K50+1</f>
        <v>2027</v>
      </c>
    </row>
    <row r="51" spans="3:12" ht="15" x14ac:dyDescent="0.25">
      <c r="D51" s="149">
        <v>43818</v>
      </c>
      <c r="E51" s="149">
        <f t="shared" ref="E51:L51" si="1">D51+365</f>
        <v>44183</v>
      </c>
      <c r="F51" s="232">
        <f t="shared" si="1"/>
        <v>44548</v>
      </c>
      <c r="G51" s="151">
        <f t="shared" si="1"/>
        <v>44913</v>
      </c>
      <c r="H51" s="149">
        <f t="shared" si="1"/>
        <v>45278</v>
      </c>
      <c r="I51" s="149">
        <f t="shared" si="1"/>
        <v>45643</v>
      </c>
      <c r="J51" s="149">
        <f t="shared" si="1"/>
        <v>46008</v>
      </c>
      <c r="K51" s="149">
        <f t="shared" si="1"/>
        <v>46373</v>
      </c>
      <c r="L51" s="149">
        <f t="shared" si="1"/>
        <v>46738</v>
      </c>
    </row>
    <row r="52" spans="3:12" x14ac:dyDescent="0.2">
      <c r="D52" s="460" t="s">
        <v>90</v>
      </c>
      <c r="E52" s="460" t="s">
        <v>90</v>
      </c>
      <c r="F52" s="461" t="s">
        <v>90</v>
      </c>
      <c r="G52" s="462" t="s">
        <v>91</v>
      </c>
      <c r="H52" s="460" t="s">
        <v>91</v>
      </c>
      <c r="I52" s="460" t="s">
        <v>91</v>
      </c>
      <c r="J52" s="460" t="s">
        <v>91</v>
      </c>
      <c r="K52" s="460" t="s">
        <v>91</v>
      </c>
      <c r="L52" s="460" t="s">
        <v>91</v>
      </c>
    </row>
    <row r="53" spans="3:12" ht="4.5" customHeight="1" x14ac:dyDescent="0.2">
      <c r="D53" s="64"/>
      <c r="E53" s="64"/>
      <c r="F53" s="243"/>
      <c r="G53" s="64"/>
      <c r="H53" s="64"/>
      <c r="I53" s="64"/>
      <c r="J53" s="64"/>
      <c r="K53" s="64"/>
      <c r="L53" s="64"/>
    </row>
    <row r="54" spans="3:12" ht="15" hidden="1" outlineLevel="1" x14ac:dyDescent="0.25">
      <c r="C54" s="205" t="str">
        <f>IS!B9</f>
        <v>Total Revenue</v>
      </c>
      <c r="D54" s="457">
        <f>IS!E9</f>
        <v>144.49600000000001</v>
      </c>
      <c r="E54" s="457">
        <f>IS!F9</f>
        <v>175.518</v>
      </c>
      <c r="F54" s="463">
        <f>IS!G9</f>
        <v>213.21199999999999</v>
      </c>
      <c r="G54" s="457">
        <f>IS!H9</f>
        <v>303.29499999999996</v>
      </c>
      <c r="H54" s="457">
        <f>IS!I9</f>
        <v>470.10725000000002</v>
      </c>
      <c r="I54" s="457">
        <f>IS!J9</f>
        <v>611.13942500000007</v>
      </c>
      <c r="J54" s="457">
        <f>IS!K9</f>
        <v>763.92428125000015</v>
      </c>
      <c r="K54" s="457">
        <f>IS!L9</f>
        <v>916.70913750000011</v>
      </c>
      <c r="L54" s="457">
        <f>IS!M9</f>
        <v>1054.215508125</v>
      </c>
    </row>
    <row r="55" spans="3:12" hidden="1" outlineLevel="1" x14ac:dyDescent="0.2">
      <c r="C55" s="397" t="str">
        <f>IS!B10</f>
        <v>Growth %</v>
      </c>
      <c r="D55" s="30">
        <f>IS!E10</f>
        <v>0.39273253012048204</v>
      </c>
      <c r="E55" s="30">
        <f>IS!F10</f>
        <v>0.21469106411250127</v>
      </c>
      <c r="F55" s="280">
        <f>IS!G10</f>
        <v>0.21475860025752347</v>
      </c>
      <c r="G55" s="30">
        <f>IS!H10</f>
        <v>0.42250436185580531</v>
      </c>
      <c r="H55" s="30">
        <f>IS!I10</f>
        <v>0.55000000000000027</v>
      </c>
      <c r="I55" s="30">
        <f>IS!J10</f>
        <v>0.3</v>
      </c>
      <c r="J55" s="30">
        <f>IS!K10</f>
        <v>0.25</v>
      </c>
      <c r="K55" s="30">
        <f>IS!L10</f>
        <v>0.2</v>
      </c>
      <c r="L55" s="30">
        <f>IS!M10</f>
        <v>0.15</v>
      </c>
    </row>
    <row r="56" spans="3:12" ht="4.5" hidden="1" customHeight="1" outlineLevel="1" x14ac:dyDescent="0.2">
      <c r="D56" s="64"/>
      <c r="E56" s="64"/>
      <c r="F56" s="243"/>
      <c r="G56" s="64"/>
      <c r="H56" s="64"/>
      <c r="I56" s="64"/>
      <c r="J56" s="64"/>
      <c r="K56" s="64"/>
      <c r="L56" s="64"/>
    </row>
    <row r="57" spans="3:12" ht="15" hidden="1" outlineLevel="1" x14ac:dyDescent="0.25">
      <c r="C57" s="205" t="str">
        <f>IS!B12</f>
        <v>Cost of Revenue</v>
      </c>
      <c r="D57" s="457">
        <f>IS!E12</f>
        <v>100.28400000000001</v>
      </c>
      <c r="E57" s="457">
        <f>IS!F12</f>
        <v>108.97199999999999</v>
      </c>
      <c r="F57" s="463">
        <f>IS!G12</f>
        <v>130.56700000000001</v>
      </c>
      <c r="G57" s="457">
        <f>IS!H12</f>
        <v>187.72412499999996</v>
      </c>
      <c r="H57" s="457">
        <f>IS!I12</f>
        <v>293.81703125000001</v>
      </c>
      <c r="I57" s="457">
        <f>IS!J12</f>
        <v>381.96214062500007</v>
      </c>
      <c r="J57" s="457">
        <f>IS!K12</f>
        <v>479.36248648437504</v>
      </c>
      <c r="K57" s="457">
        <f>IS!L12</f>
        <v>577.52675662499996</v>
      </c>
      <c r="L57" s="457">
        <f>IS!M12</f>
        <v>666.79130888906241</v>
      </c>
    </row>
    <row r="58" spans="3:12" hidden="1" outlineLevel="1" x14ac:dyDescent="0.2">
      <c r="C58" s="397" t="str">
        <f>IS!B13</f>
        <v>% of Revenue</v>
      </c>
      <c r="D58" s="30">
        <f>IS!E13</f>
        <v>0.6940261322112723</v>
      </c>
      <c r="E58" s="30">
        <f>IS!F13</f>
        <v>0.6208593990359963</v>
      </c>
      <c r="F58" s="280">
        <f>IS!G13</f>
        <v>0.61238110425304404</v>
      </c>
      <c r="G58" s="30">
        <f>IS!H13</f>
        <v>0.61894896058293081</v>
      </c>
      <c r="H58" s="30">
        <f>IS!I13</f>
        <v>0.625</v>
      </c>
      <c r="I58" s="30">
        <f>IS!J13</f>
        <v>0.625</v>
      </c>
      <c r="J58" s="30">
        <f>IS!K13</f>
        <v>0.62749999999999995</v>
      </c>
      <c r="K58" s="30">
        <f>IS!L13</f>
        <v>0.62999999999999989</v>
      </c>
      <c r="L58" s="30">
        <f>IS!M13</f>
        <v>0.63249999999999984</v>
      </c>
    </row>
    <row r="59" spans="3:12" ht="4.5" hidden="1" customHeight="1" outlineLevel="1" x14ac:dyDescent="0.2">
      <c r="D59" s="64"/>
      <c r="E59" s="64"/>
      <c r="F59" s="243"/>
      <c r="G59" s="64"/>
      <c r="H59" s="64"/>
      <c r="I59" s="64"/>
      <c r="J59" s="64"/>
      <c r="K59" s="64"/>
      <c r="L59" s="64"/>
    </row>
    <row r="60" spans="3:12" ht="15" hidden="1" outlineLevel="1" x14ac:dyDescent="0.25">
      <c r="C60" s="205" t="str">
        <f>IS!B15</f>
        <v>Gross Profit</v>
      </c>
      <c r="D60" s="457">
        <f>IS!E15</f>
        <v>44.212000000000003</v>
      </c>
      <c r="E60" s="457">
        <f>IS!F15</f>
        <v>66.546000000000006</v>
      </c>
      <c r="F60" s="463">
        <f>IS!G15</f>
        <v>82.644999999999982</v>
      </c>
      <c r="G60" s="457">
        <f>IS!H15</f>
        <v>115.570875</v>
      </c>
      <c r="H60" s="457">
        <f>IS!I15</f>
        <v>176.29021875000001</v>
      </c>
      <c r="I60" s="457">
        <f>IS!J15</f>
        <v>229.177284375</v>
      </c>
      <c r="J60" s="457">
        <f>IS!K15</f>
        <v>284.56179476562511</v>
      </c>
      <c r="K60" s="457">
        <f>IS!L15</f>
        <v>339.18238087500015</v>
      </c>
      <c r="L60" s="457">
        <f>IS!M15</f>
        <v>387.42419923593764</v>
      </c>
    </row>
    <row r="61" spans="3:12" hidden="1" outlineLevel="1" x14ac:dyDescent="0.2">
      <c r="C61" s="397" t="str">
        <f>IS!B16</f>
        <v>Gross Margin %</v>
      </c>
      <c r="D61" s="30">
        <f>IS!E16</f>
        <v>0.3059738677887277</v>
      </c>
      <c r="E61" s="30">
        <f>IS!F16</f>
        <v>0.3791406009640037</v>
      </c>
      <c r="F61" s="280">
        <f>IS!G16</f>
        <v>0.38761889574695602</v>
      </c>
      <c r="G61" s="30">
        <f>IS!H16</f>
        <v>0.38105103941706925</v>
      </c>
      <c r="H61" s="30">
        <f>IS!I16</f>
        <v>0.375</v>
      </c>
      <c r="I61" s="30">
        <f>IS!J16</f>
        <v>0.37499999999999994</v>
      </c>
      <c r="J61" s="30">
        <f>IS!K16</f>
        <v>0.37250000000000005</v>
      </c>
      <c r="K61" s="30">
        <f>IS!L16</f>
        <v>0.37000000000000011</v>
      </c>
      <c r="L61" s="30">
        <f>IS!M16</f>
        <v>0.3675000000000001</v>
      </c>
    </row>
    <row r="62" spans="3:12" ht="4.5" hidden="1" customHeight="1" outlineLevel="1" x14ac:dyDescent="0.2">
      <c r="D62" s="64"/>
      <c r="E62" s="64"/>
      <c r="F62" s="243"/>
      <c r="G62" s="64"/>
      <c r="H62" s="64"/>
      <c r="I62" s="64"/>
      <c r="J62" s="64"/>
      <c r="K62" s="64"/>
      <c r="L62" s="64"/>
    </row>
    <row r="63" spans="3:12" hidden="1" outlineLevel="1" x14ac:dyDescent="0.2">
      <c r="C63" s="179" t="str">
        <f>IS!B18</f>
        <v>Operating Expenses:</v>
      </c>
      <c r="D63" s="64"/>
      <c r="E63" s="64"/>
      <c r="F63" s="243"/>
      <c r="G63" s="64"/>
      <c r="H63" s="64"/>
      <c r="I63" s="64"/>
      <c r="J63" s="64"/>
      <c r="K63" s="64"/>
      <c r="L63" s="64"/>
    </row>
    <row r="64" spans="3:12" hidden="1" outlineLevel="1" x14ac:dyDescent="0.2">
      <c r="C64" s="1" t="str">
        <f>IS!B19</f>
        <v>Selling, General &amp; Administrative</v>
      </c>
      <c r="D64" s="64">
        <f>IS!E19</f>
        <v>9.0649999999999995</v>
      </c>
      <c r="E64" s="64">
        <f>IS!F19</f>
        <v>21.007999999999999</v>
      </c>
      <c r="F64" s="243">
        <f>IS!G19</f>
        <v>37.893000000000001</v>
      </c>
      <c r="G64" s="64">
        <f>IS!H19</f>
        <v>55.062249999999999</v>
      </c>
      <c r="H64" s="64">
        <f>IS!I19</f>
        <v>70.907857500000006</v>
      </c>
      <c r="I64" s="64">
        <f>IS!J19</f>
        <v>90.652366187500007</v>
      </c>
      <c r="J64" s="64">
        <f>IS!K19</f>
        <v>111.40564703125001</v>
      </c>
      <c r="K64" s="64">
        <f>IS!L19</f>
        <v>131.39500359375</v>
      </c>
      <c r="L64" s="64">
        <f>IS!M19</f>
        <v>148.46871536249998</v>
      </c>
    </row>
    <row r="65" spans="3:12" hidden="1" outlineLevel="1" x14ac:dyDescent="0.2">
      <c r="C65" s="1" t="str">
        <f>IS!B20</f>
        <v>Depreciation &amp; Amortization</v>
      </c>
      <c r="D65" s="64">
        <f>IS!E20</f>
        <v>8.2170000000000005</v>
      </c>
      <c r="E65" s="64">
        <f>IS!F20</f>
        <v>8.2620000000000005</v>
      </c>
      <c r="F65" s="243">
        <f>IS!G20</f>
        <v>8.52</v>
      </c>
      <c r="G65" s="64">
        <f>IS!H20</f>
        <v>11.943104</v>
      </c>
      <c r="H65" s="64">
        <f>IS!I20</f>
        <v>12.81039825</v>
      </c>
      <c r="I65" s="64">
        <f>IS!J20</f>
        <v>13.558644924999999</v>
      </c>
      <c r="J65" s="64">
        <f>IS!K20</f>
        <v>14.933708631250001</v>
      </c>
      <c r="K65" s="64">
        <f>IS!L20</f>
        <v>16.614342050000001</v>
      </c>
      <c r="L65" s="64">
        <f>IS!M20</f>
        <v>17.455079695625003</v>
      </c>
    </row>
    <row r="66" spans="3:12" hidden="1" outlineLevel="1" x14ac:dyDescent="0.2">
      <c r="C66" s="1" t="str">
        <f>IS!B21</f>
        <v>Total Operating Expenses</v>
      </c>
      <c r="D66" s="64">
        <f>IS!E21</f>
        <v>17.282</v>
      </c>
      <c r="E66" s="64">
        <f>IS!F21</f>
        <v>29.27</v>
      </c>
      <c r="F66" s="243">
        <f>IS!G21</f>
        <v>46.412999999999997</v>
      </c>
      <c r="G66" s="64">
        <f>IS!H21</f>
        <v>67.005353999999997</v>
      </c>
      <c r="H66" s="64">
        <f>IS!I21</f>
        <v>83.718255750000012</v>
      </c>
      <c r="I66" s="64">
        <f>IS!J21</f>
        <v>104.2110111125</v>
      </c>
      <c r="J66" s="64">
        <f>IS!K21</f>
        <v>126.33935566250001</v>
      </c>
      <c r="K66" s="64">
        <f>IS!L21</f>
        <v>148.00934564375001</v>
      </c>
      <c r="L66" s="64">
        <f>IS!M21</f>
        <v>165.92379505812499</v>
      </c>
    </row>
    <row r="67" spans="3:12" ht="4.5" hidden="1" customHeight="1" outlineLevel="1" x14ac:dyDescent="0.2">
      <c r="D67" s="64"/>
      <c r="E67" s="64"/>
      <c r="F67" s="243"/>
      <c r="G67" s="64"/>
      <c r="H67" s="64"/>
      <c r="I67" s="64"/>
      <c r="J67" s="64"/>
      <c r="K67" s="64"/>
      <c r="L67" s="64"/>
    </row>
    <row r="68" spans="3:12" ht="15" hidden="1" outlineLevel="1" x14ac:dyDescent="0.25">
      <c r="C68" s="205" t="str">
        <f>IS!B27</f>
        <v>EBIT</v>
      </c>
      <c r="D68" s="457">
        <f>IS!E27</f>
        <v>26.930000000000003</v>
      </c>
      <c r="E68" s="457">
        <f>IS!F27</f>
        <v>37.27600000000001</v>
      </c>
      <c r="F68" s="463">
        <f>IS!G27</f>
        <v>36.231999999999985</v>
      </c>
      <c r="G68" s="457">
        <f>IS!H27</f>
        <v>48.565521000000004</v>
      </c>
      <c r="H68" s="457">
        <f>IS!I27</f>
        <v>92.571962999999997</v>
      </c>
      <c r="I68" s="457">
        <f>IS!J27</f>
        <v>124.9662732625</v>
      </c>
      <c r="J68" s="457">
        <f>IS!K27</f>
        <v>158.22243910312511</v>
      </c>
      <c r="K68" s="457">
        <f>IS!L27</f>
        <v>191.17303523125014</v>
      </c>
      <c r="L68" s="457">
        <f>IS!M27</f>
        <v>221.50040417781264</v>
      </c>
    </row>
    <row r="69" spans="3:12" hidden="1" outlineLevel="1" x14ac:dyDescent="0.2">
      <c r="C69" s="1" t="str">
        <f>IS!B28</f>
        <v>Interest Income / (Expense)</v>
      </c>
      <c r="D69" s="64">
        <f>IS!E28</f>
        <v>-1.7869999999999999</v>
      </c>
      <c r="E69" s="64">
        <f>IS!F28</f>
        <v>-3.51</v>
      </c>
      <c r="F69" s="243">
        <f>IS!G28</f>
        <v>-14.548999999999999</v>
      </c>
      <c r="G69" s="64">
        <f ca="1">IS!H28</f>
        <v>-17.491515853524284</v>
      </c>
      <c r="H69" s="64">
        <f ca="1">IS!I28</f>
        <v>-19.048398439742293</v>
      </c>
      <c r="I69" s="64">
        <f ca="1">IS!J28</f>
        <v>-14.073042173373151</v>
      </c>
      <c r="J69" s="64">
        <f ca="1">IS!K28</f>
        <v>-11.892749999999999</v>
      </c>
      <c r="K69" s="64">
        <f ca="1">IS!L28</f>
        <v>-11.794625</v>
      </c>
      <c r="L69" s="64">
        <f ca="1">IS!M28</f>
        <v>-11.932000000000002</v>
      </c>
    </row>
    <row r="70" spans="3:12" hidden="1" outlineLevel="1" x14ac:dyDescent="0.2">
      <c r="C70" s="1" t="str">
        <f>IS!B29</f>
        <v>Tax Receivable agreement liability adjustment</v>
      </c>
      <c r="D70" s="64">
        <f>IS!E29</f>
        <v>0</v>
      </c>
      <c r="E70" s="64">
        <f>IS!F29</f>
        <v>0</v>
      </c>
      <c r="F70" s="243">
        <f>IS!G29</f>
        <v>-1.663</v>
      </c>
      <c r="G70" s="64">
        <f>IS!H29</f>
        <v>0</v>
      </c>
      <c r="H70" s="64">
        <f>IS!I29</f>
        <v>0</v>
      </c>
      <c r="I70" s="64">
        <f>IS!J29</f>
        <v>0</v>
      </c>
      <c r="J70" s="64">
        <f>IS!K29</f>
        <v>0</v>
      </c>
      <c r="K70" s="64">
        <f>IS!L29</f>
        <v>0</v>
      </c>
      <c r="L70" s="64">
        <f>IS!M29</f>
        <v>0</v>
      </c>
    </row>
    <row r="71" spans="3:12" hidden="1" outlineLevel="1" x14ac:dyDescent="0.2">
      <c r="C71" s="1" t="str">
        <f>IS!B30</f>
        <v>Loss on debt repayment</v>
      </c>
      <c r="D71" s="64">
        <f>IS!E30</f>
        <v>0</v>
      </c>
      <c r="E71" s="64">
        <f>IS!F30</f>
        <v>0</v>
      </c>
      <c r="F71" s="243">
        <f>IS!G30</f>
        <v>-15.99</v>
      </c>
      <c r="G71" s="64">
        <f>IS!H30</f>
        <v>0</v>
      </c>
      <c r="H71" s="64">
        <f>IS!I30</f>
        <v>0</v>
      </c>
      <c r="I71" s="64">
        <f>IS!J30</f>
        <v>0</v>
      </c>
      <c r="J71" s="64">
        <f>IS!K30</f>
        <v>0</v>
      </c>
      <c r="K71" s="64">
        <f>IS!L30</f>
        <v>0</v>
      </c>
      <c r="L71" s="64">
        <f>IS!M30</f>
        <v>0</v>
      </c>
    </row>
    <row r="72" spans="3:12" ht="15" hidden="1" outlineLevel="1" x14ac:dyDescent="0.25">
      <c r="C72" s="205" t="str">
        <f>IS!B31</f>
        <v>Income Before Taxes</v>
      </c>
      <c r="D72" s="457">
        <f>IS!E31</f>
        <v>25.143000000000004</v>
      </c>
      <c r="E72" s="457">
        <f>IS!F31</f>
        <v>33.766000000000012</v>
      </c>
      <c r="F72" s="463">
        <f>IS!G31</f>
        <v>4.0299999999999851</v>
      </c>
      <c r="G72" s="457">
        <f ca="1">IS!H31</f>
        <v>31.07400514647572</v>
      </c>
      <c r="H72" s="457">
        <f ca="1">IS!I31</f>
        <v>73.523564560257711</v>
      </c>
      <c r="I72" s="457">
        <f ca="1">IS!J31</f>
        <v>110.89323108912684</v>
      </c>
      <c r="J72" s="457">
        <f ca="1">IS!K31</f>
        <v>146.32968910312511</v>
      </c>
      <c r="K72" s="457">
        <f ca="1">IS!L31</f>
        <v>179.37841023125014</v>
      </c>
      <c r="L72" s="457">
        <f ca="1">IS!M31</f>
        <v>209.56840417781262</v>
      </c>
    </row>
    <row r="73" spans="3:12" ht="4.5" hidden="1" customHeight="1" outlineLevel="1" x14ac:dyDescent="0.2">
      <c r="D73" s="64"/>
      <c r="E73" s="64"/>
      <c r="F73" s="243"/>
      <c r="G73" s="64"/>
      <c r="H73" s="64"/>
      <c r="I73" s="64"/>
      <c r="J73" s="64"/>
      <c r="K73" s="64"/>
      <c r="L73" s="64"/>
    </row>
    <row r="74" spans="3:12" hidden="1" outlineLevel="1" x14ac:dyDescent="0.2">
      <c r="C74" s="1" t="str">
        <f>IS!B33</f>
        <v>Provision for Income Tax</v>
      </c>
      <c r="D74" s="64">
        <f>IS!E33</f>
        <v>0</v>
      </c>
      <c r="E74" s="64">
        <f>IS!F33</f>
        <v>0</v>
      </c>
      <c r="F74" s="243">
        <f>IS!G33</f>
        <v>-8.5999999999999993E-2</v>
      </c>
      <c r="G74" s="64">
        <f ca="1">IS!H33</f>
        <v>-6.4116910807599004</v>
      </c>
      <c r="H74" s="64">
        <f ca="1">IS!I33</f>
        <v>-15.439948557654114</v>
      </c>
      <c r="I74" s="64">
        <f ca="1">IS!J33</f>
        <v>-23.287578528716629</v>
      </c>
      <c r="J74" s="64">
        <f ca="1">IS!K33</f>
        <v>-30.729234711656265</v>
      </c>
      <c r="K74" s="64">
        <f ca="1">IS!L33</f>
        <v>-37.66946614856252</v>
      </c>
      <c r="L74" s="64">
        <f ca="1">IS!M33</f>
        <v>-44.009364877340637</v>
      </c>
    </row>
    <row r="75" spans="3:12" ht="15" hidden="1" outlineLevel="1" x14ac:dyDescent="0.25">
      <c r="C75" s="205" t="str">
        <f>IS!B34</f>
        <v>Net After-Tax Income</v>
      </c>
      <c r="D75" s="457">
        <f>IS!E34</f>
        <v>25.143000000000004</v>
      </c>
      <c r="E75" s="457">
        <f>IS!F34</f>
        <v>33.766000000000012</v>
      </c>
      <c r="F75" s="463">
        <f>IS!G34</f>
        <v>3.9439999999999853</v>
      </c>
      <c r="G75" s="457">
        <f ca="1">IS!H34</f>
        <v>24.662314065715819</v>
      </c>
      <c r="H75" s="457">
        <f ca="1">IS!I34</f>
        <v>58.083616002603598</v>
      </c>
      <c r="I75" s="457">
        <f ca="1">IS!J34</f>
        <v>87.605652560410221</v>
      </c>
      <c r="J75" s="457">
        <f ca="1">IS!K34</f>
        <v>115.60045439146884</v>
      </c>
      <c r="K75" s="457">
        <f ca="1">IS!L34</f>
        <v>141.70894408268762</v>
      </c>
      <c r="L75" s="457">
        <f ca="1">IS!M34</f>
        <v>165.55903930047199</v>
      </c>
    </row>
    <row r="76" spans="3:12" ht="4.5" hidden="1" customHeight="1" outlineLevel="1" x14ac:dyDescent="0.2">
      <c r="D76" s="64"/>
      <c r="E76" s="64"/>
      <c r="F76" s="243"/>
      <c r="G76" s="64"/>
      <c r="H76" s="64"/>
      <c r="I76" s="64"/>
      <c r="J76" s="64"/>
      <c r="K76" s="64"/>
      <c r="L76" s="64"/>
    </row>
    <row r="77" spans="3:12" hidden="1" outlineLevel="1" x14ac:dyDescent="0.2">
      <c r="C77" s="1" t="str">
        <f>IS!B36</f>
        <v>Tax Rate</v>
      </c>
      <c r="D77" s="64">
        <f>IS!E36</f>
        <v>0</v>
      </c>
      <c r="E77" s="64">
        <f>IS!F36</f>
        <v>0</v>
      </c>
      <c r="F77" s="243">
        <f>IS!G36</f>
        <v>-2.1339950372208514E-2</v>
      </c>
      <c r="G77" s="64">
        <f ca="1">IS!H36</f>
        <v>-0.20633616588967729</v>
      </c>
      <c r="H77" s="64">
        <f ca="1">IS!I36</f>
        <v>-0.20999999999999994</v>
      </c>
      <c r="I77" s="64">
        <f ca="1">IS!J36</f>
        <v>-0.20999999999999994</v>
      </c>
      <c r="J77" s="64">
        <f ca="1">IS!K36</f>
        <v>-0.20999999999999994</v>
      </c>
      <c r="K77" s="64">
        <f ca="1">IS!L36</f>
        <v>-0.20999999999999994</v>
      </c>
      <c r="L77" s="64">
        <f ca="1">IS!M36</f>
        <v>-0.20999999999999994</v>
      </c>
    </row>
    <row r="78" spans="3:12" ht="4.5" hidden="1" customHeight="1" outlineLevel="1" x14ac:dyDescent="0.2">
      <c r="D78" s="64"/>
      <c r="E78" s="64"/>
      <c r="F78" s="243"/>
      <c r="G78" s="64"/>
      <c r="H78" s="64"/>
      <c r="I78" s="64"/>
      <c r="J78" s="64"/>
      <c r="K78" s="64"/>
      <c r="L78" s="64"/>
    </row>
    <row r="79" spans="3:12" hidden="1" outlineLevel="1" x14ac:dyDescent="0.2">
      <c r="C79" s="1" t="str">
        <f>IS!B38</f>
        <v>Less: Net income (loss) attributable to NCI</v>
      </c>
      <c r="D79" s="64">
        <f>IS!E38</f>
        <v>0</v>
      </c>
      <c r="E79" s="64">
        <f>IS!F38</f>
        <v>0</v>
      </c>
      <c r="F79" s="243">
        <f>IS!G38</f>
        <v>1.5960000000000001</v>
      </c>
      <c r="G79" s="64">
        <f>IS!H38</f>
        <v>10.712</v>
      </c>
      <c r="H79" s="64">
        <f>IS!I38</f>
        <v>11.603999999999999</v>
      </c>
      <c r="I79" s="64">
        <f>IS!J38</f>
        <v>11.603999999999999</v>
      </c>
      <c r="J79" s="64">
        <f>IS!K38</f>
        <v>11.603999999999999</v>
      </c>
      <c r="K79" s="64">
        <f>IS!L38</f>
        <v>11.603999999999999</v>
      </c>
      <c r="L79" s="64">
        <f>IS!M38</f>
        <v>11.603999999999999</v>
      </c>
    </row>
    <row r="80" spans="3:12" ht="15" hidden="1" outlineLevel="1" x14ac:dyDescent="0.25">
      <c r="C80" s="205" t="str">
        <f>IS!B39</f>
        <v>Net Income to Shoals</v>
      </c>
      <c r="D80" s="457">
        <f>IS!E39</f>
        <v>25.143000000000004</v>
      </c>
      <c r="E80" s="457">
        <f>IS!F39</f>
        <v>33.766000000000012</v>
      </c>
      <c r="F80" s="463">
        <f>IS!G39</f>
        <v>2.3479999999999852</v>
      </c>
      <c r="G80" s="457">
        <f ca="1">IS!H39</f>
        <v>13.950314065715819</v>
      </c>
      <c r="H80" s="457">
        <f ca="1">IS!I39</f>
        <v>46.479616002603599</v>
      </c>
      <c r="I80" s="457">
        <f ca="1">IS!J39</f>
        <v>76.001652560410221</v>
      </c>
      <c r="J80" s="457">
        <f ca="1">IS!K39</f>
        <v>103.99645439146884</v>
      </c>
      <c r="K80" s="457">
        <f ca="1">IS!L39</f>
        <v>130.10494408268761</v>
      </c>
      <c r="L80" s="457">
        <f ca="1">IS!M39</f>
        <v>153.95503930047198</v>
      </c>
    </row>
    <row r="81" spans="3:12" hidden="1" outlineLevel="1" x14ac:dyDescent="0.2">
      <c r="F81" s="237"/>
    </row>
    <row r="82" spans="3:12" collapsed="1" x14ac:dyDescent="0.2">
      <c r="C82" s="179" t="str">
        <f>IS!B41</f>
        <v>Adj. EBITDA Calculation</v>
      </c>
      <c r="F82" s="237"/>
    </row>
    <row r="83" spans="3:12" x14ac:dyDescent="0.2">
      <c r="C83" s="1" t="str">
        <f>IS!B42</f>
        <v>Net Income as reported</v>
      </c>
      <c r="D83" s="64">
        <f>IS!E42</f>
        <v>25.143000000000004</v>
      </c>
      <c r="E83" s="64">
        <f>IS!F42</f>
        <v>33.766000000000012</v>
      </c>
      <c r="F83" s="243">
        <f>IS!G42</f>
        <v>3.9439999999999853</v>
      </c>
      <c r="G83" s="64">
        <f ca="1">IS!H42</f>
        <v>24.662314065715819</v>
      </c>
      <c r="H83" s="64">
        <f ca="1">IS!I42</f>
        <v>58.083616002603598</v>
      </c>
      <c r="I83" s="64">
        <f ca="1">IS!J42</f>
        <v>87.605652560410221</v>
      </c>
      <c r="J83" s="64">
        <f ca="1">IS!K42</f>
        <v>115.60045439146884</v>
      </c>
      <c r="K83" s="64">
        <f ca="1">IS!L42</f>
        <v>141.70894408268762</v>
      </c>
      <c r="L83" s="64">
        <f ca="1">IS!M42</f>
        <v>165.55903930047199</v>
      </c>
    </row>
    <row r="84" spans="3:12" x14ac:dyDescent="0.2">
      <c r="C84" s="1" t="str">
        <f>IS!B43</f>
        <v>Plus: Interest Expense, net</v>
      </c>
      <c r="D84" s="64">
        <f>IS!E43</f>
        <v>1.7869999999999999</v>
      </c>
      <c r="E84" s="64">
        <f>IS!F43</f>
        <v>3.51</v>
      </c>
      <c r="F84" s="243">
        <f>IS!G43</f>
        <v>14.548999999999999</v>
      </c>
      <c r="G84" s="64">
        <f ca="1">IS!H43</f>
        <v>17.491515853524284</v>
      </c>
      <c r="H84" s="64">
        <f ca="1">IS!I43</f>
        <v>19.048398439742293</v>
      </c>
      <c r="I84" s="64">
        <f ca="1">IS!J43</f>
        <v>14.073042173373151</v>
      </c>
      <c r="J84" s="64">
        <f ca="1">IS!K43</f>
        <v>11.892749999999999</v>
      </c>
      <c r="K84" s="64">
        <f ca="1">IS!L43</f>
        <v>11.794625</v>
      </c>
      <c r="L84" s="64">
        <f ca="1">IS!M43</f>
        <v>11.932000000000002</v>
      </c>
    </row>
    <row r="85" spans="3:12" x14ac:dyDescent="0.2">
      <c r="C85" s="1" t="str">
        <f>IS!B44</f>
        <v>Plus: Provision for Income Tax</v>
      </c>
      <c r="D85" s="64">
        <f>IS!E44</f>
        <v>0</v>
      </c>
      <c r="E85" s="64">
        <f>IS!F44</f>
        <v>0</v>
      </c>
      <c r="F85" s="243">
        <f>IS!G44</f>
        <v>8.5999999999999993E-2</v>
      </c>
      <c r="G85" s="64">
        <f ca="1">IS!H44</f>
        <v>6.4116910807599004</v>
      </c>
      <c r="H85" s="64">
        <f ca="1">IS!I44</f>
        <v>15.439948557654114</v>
      </c>
      <c r="I85" s="64">
        <f ca="1">IS!J44</f>
        <v>23.287578528716629</v>
      </c>
      <c r="J85" s="64">
        <f ca="1">IS!K44</f>
        <v>30.729234711656265</v>
      </c>
      <c r="K85" s="64">
        <f ca="1">IS!L44</f>
        <v>37.66946614856252</v>
      </c>
      <c r="L85" s="64">
        <f ca="1">IS!M44</f>
        <v>44.009364877340637</v>
      </c>
    </row>
    <row r="86" spans="3:12" x14ac:dyDescent="0.2">
      <c r="C86" s="1" t="str">
        <f>IS!B45</f>
        <v>Plus: Depreciation Expense</v>
      </c>
      <c r="D86" s="64">
        <f>IS!E45</f>
        <v>1.179</v>
      </c>
      <c r="E86" s="64">
        <f>IS!F45</f>
        <v>1.42</v>
      </c>
      <c r="F86" s="243">
        <f>IS!G45</f>
        <v>1.7010000000000001</v>
      </c>
      <c r="G86" s="64">
        <f>IS!H45</f>
        <v>3.2861039999999999</v>
      </c>
      <c r="H86" s="64">
        <f>IS!I45</f>
        <v>4.8923982500000003</v>
      </c>
      <c r="I86" s="64">
        <f>IS!J45</f>
        <v>5.9736449250000003</v>
      </c>
      <c r="J86" s="64">
        <f>IS!K45</f>
        <v>7.348708631250001</v>
      </c>
      <c r="K86" s="64">
        <f>IS!L45</f>
        <v>9.0293420500000003</v>
      </c>
      <c r="L86" s="64">
        <f>IS!M45</f>
        <v>9.8700796956250016</v>
      </c>
    </row>
    <row r="87" spans="3:12" x14ac:dyDescent="0.2">
      <c r="C87" s="1" t="str">
        <f>IS!B46</f>
        <v>Plus: Amortization of Intangibles</v>
      </c>
      <c r="D87" s="64">
        <f>IS!E46</f>
        <v>7.984</v>
      </c>
      <c r="E87" s="64">
        <f>IS!F46</f>
        <v>7.9850000000000003</v>
      </c>
      <c r="F87" s="243">
        <f>IS!G46</f>
        <v>8.3520000000000003</v>
      </c>
      <c r="G87" s="64">
        <f>IS!H46</f>
        <v>8.6589999999999989</v>
      </c>
      <c r="H87" s="64">
        <f>IS!I46</f>
        <v>7.9180000000000001</v>
      </c>
      <c r="I87" s="64">
        <f>IS!J46</f>
        <v>7.585</v>
      </c>
      <c r="J87" s="64">
        <f>IS!K46</f>
        <v>7.585</v>
      </c>
      <c r="K87" s="64">
        <f>IS!L46</f>
        <v>7.585</v>
      </c>
      <c r="L87" s="64">
        <f>IS!M46</f>
        <v>7.585</v>
      </c>
    </row>
    <row r="88" spans="3:12" x14ac:dyDescent="0.2">
      <c r="C88" s="1" t="str">
        <f>IS!B47</f>
        <v>Plus: Amortization of Deferred Financing Costs</v>
      </c>
      <c r="D88" s="64">
        <f>IS!E47</f>
        <v>3.7999999999999999E-2</v>
      </c>
      <c r="E88" s="64">
        <f>IS!F47</f>
        <v>0.35099999999999998</v>
      </c>
      <c r="F88" s="243">
        <f>IS!G47</f>
        <v>5.9690000000000003</v>
      </c>
      <c r="G88" s="64">
        <f>IS!H47</f>
        <v>0.68400000000000005</v>
      </c>
      <c r="H88" s="64">
        <f>IS!I47</f>
        <v>0</v>
      </c>
      <c r="I88" s="64">
        <f>IS!J47</f>
        <v>0</v>
      </c>
      <c r="J88" s="64">
        <f>IS!K47</f>
        <v>0</v>
      </c>
      <c r="K88" s="64">
        <f>IS!L47</f>
        <v>0</v>
      </c>
      <c r="L88" s="64">
        <f>IS!M47</f>
        <v>0</v>
      </c>
    </row>
    <row r="89" spans="3:12" x14ac:dyDescent="0.2">
      <c r="C89" s="1" t="str">
        <f>IS!B48</f>
        <v>Plus: Tax rececivable agreement liability adjustment</v>
      </c>
      <c r="D89" s="64">
        <f>IS!E48</f>
        <v>0</v>
      </c>
      <c r="E89" s="64">
        <f>IS!F48</f>
        <v>0</v>
      </c>
      <c r="F89" s="243">
        <f>IS!G48</f>
        <v>1.663</v>
      </c>
      <c r="G89" s="64">
        <f>IS!H48</f>
        <v>0</v>
      </c>
      <c r="H89" s="64">
        <f>IS!I48</f>
        <v>0</v>
      </c>
      <c r="I89" s="64">
        <f>IS!J48</f>
        <v>0</v>
      </c>
      <c r="J89" s="64">
        <f>IS!K48</f>
        <v>0</v>
      </c>
      <c r="K89" s="64">
        <f>IS!L48</f>
        <v>0</v>
      </c>
      <c r="L89" s="64">
        <f>IS!M48</f>
        <v>0</v>
      </c>
    </row>
    <row r="90" spans="3:12" x14ac:dyDescent="0.2">
      <c r="C90" s="1" t="str">
        <f>IS!B49</f>
        <v>Plus: Loss on debt repayment</v>
      </c>
      <c r="D90" s="64">
        <f>IS!E49</f>
        <v>0</v>
      </c>
      <c r="E90" s="64">
        <f>IS!F49</f>
        <v>0</v>
      </c>
      <c r="F90" s="243">
        <f>IS!G49</f>
        <v>15.99</v>
      </c>
      <c r="G90" s="64">
        <f>IS!H49</f>
        <v>0</v>
      </c>
      <c r="H90" s="64">
        <f>IS!I49</f>
        <v>0</v>
      </c>
      <c r="I90" s="64">
        <f>IS!J49</f>
        <v>0</v>
      </c>
      <c r="J90" s="64">
        <f>IS!K49</f>
        <v>0</v>
      </c>
      <c r="K90" s="64">
        <f>IS!L49</f>
        <v>0</v>
      </c>
      <c r="L90" s="64">
        <f>IS!M49</f>
        <v>0</v>
      </c>
    </row>
    <row r="91" spans="3:12" x14ac:dyDescent="0.2">
      <c r="C91" s="1" t="str">
        <f>IS!B50</f>
        <v>Plus: Equity-Based Compensation</v>
      </c>
      <c r="D91" s="64">
        <f>IS!E50</f>
        <v>0</v>
      </c>
      <c r="E91" s="64">
        <f>IS!F50</f>
        <v>8.2509999999999994</v>
      </c>
      <c r="F91" s="243">
        <f>IS!G50</f>
        <v>11.286</v>
      </c>
      <c r="G91" s="64">
        <f>IS!H50</f>
        <v>16.840948251462784</v>
      </c>
      <c r="H91" s="64">
        <f>IS!I50</f>
        <v>25.990553228330384</v>
      </c>
      <c r="I91" s="64">
        <f>IS!J50</f>
        <v>25.990553228330384</v>
      </c>
      <c r="J91" s="64">
        <f>IS!K50</f>
        <v>25.990553228330384</v>
      </c>
      <c r="K91" s="64">
        <f>IS!L50</f>
        <v>25.990553228330384</v>
      </c>
      <c r="L91" s="64">
        <f>IS!M50</f>
        <v>25.990553228330384</v>
      </c>
    </row>
    <row r="92" spans="3:12" x14ac:dyDescent="0.2">
      <c r="C92" s="1" t="str">
        <f>IS!B51</f>
        <v>Plus: Acquisition-related expenses</v>
      </c>
      <c r="D92" s="64">
        <f>IS!E51</f>
        <v>0</v>
      </c>
      <c r="E92" s="64">
        <f>IS!F51</f>
        <v>0</v>
      </c>
      <c r="F92" s="243">
        <f>IS!G51</f>
        <v>2.3490000000000002</v>
      </c>
      <c r="G92" s="64">
        <f>IS!H51</f>
        <v>1.2E-2</v>
      </c>
      <c r="H92" s="64">
        <f>IS!I51</f>
        <v>0</v>
      </c>
      <c r="I92" s="64">
        <f>IS!J51</f>
        <v>0</v>
      </c>
      <c r="J92" s="64">
        <f>IS!K51</f>
        <v>0</v>
      </c>
      <c r="K92" s="64">
        <f>IS!L51</f>
        <v>0</v>
      </c>
      <c r="L92" s="64">
        <f>IS!M51</f>
        <v>0</v>
      </c>
    </row>
    <row r="93" spans="3:12" x14ac:dyDescent="0.2">
      <c r="C93" s="1" t="str">
        <f>IS!B52</f>
        <v>Plus: COVID-19 Expenses</v>
      </c>
      <c r="D93" s="64">
        <f>IS!E52</f>
        <v>0</v>
      </c>
      <c r="E93" s="64">
        <f>IS!F52</f>
        <v>2.89</v>
      </c>
      <c r="F93" s="243">
        <f>IS!G52</f>
        <v>0.33900000000000002</v>
      </c>
      <c r="G93" s="64">
        <f>IS!H52</f>
        <v>0</v>
      </c>
      <c r="H93" s="64">
        <f>IS!I52</f>
        <v>0</v>
      </c>
      <c r="I93" s="64">
        <f>IS!J52</f>
        <v>0</v>
      </c>
      <c r="J93" s="64">
        <f>IS!K52</f>
        <v>0</v>
      </c>
      <c r="K93" s="64">
        <f>IS!L52</f>
        <v>0</v>
      </c>
      <c r="L93" s="64">
        <f>IS!M52</f>
        <v>0</v>
      </c>
    </row>
    <row r="94" spans="3:12" x14ac:dyDescent="0.2">
      <c r="C94" s="1" t="str">
        <f>IS!B53</f>
        <v>Plus: Non-recurring and Other Expenses</v>
      </c>
      <c r="D94" s="64">
        <f>IS!E53</f>
        <v>0.68600000000000005</v>
      </c>
      <c r="E94" s="64">
        <f>IS!F53</f>
        <v>3.077</v>
      </c>
      <c r="F94" s="243">
        <f>IS!G53</f>
        <v>2.5979999999999999</v>
      </c>
      <c r="G94" s="64">
        <f>IS!H53</f>
        <v>0</v>
      </c>
      <c r="H94" s="64">
        <f>IS!I53</f>
        <v>0</v>
      </c>
      <c r="I94" s="64">
        <f>IS!J53</f>
        <v>0</v>
      </c>
      <c r="J94" s="64">
        <f>IS!K53</f>
        <v>0</v>
      </c>
      <c r="K94" s="64">
        <f>IS!L53</f>
        <v>0</v>
      </c>
      <c r="L94" s="64">
        <f>IS!M53</f>
        <v>0</v>
      </c>
    </row>
    <row r="95" spans="3:12" ht="15" x14ac:dyDescent="0.25">
      <c r="C95" s="205" t="str">
        <f>IS!B54</f>
        <v>Total Adjusted EBITDA</v>
      </c>
      <c r="D95" s="457">
        <f>IS!E54</f>
        <v>36.817</v>
      </c>
      <c r="E95" s="457">
        <f>IS!F54</f>
        <v>61.250000000000007</v>
      </c>
      <c r="F95" s="463">
        <f>IS!G54</f>
        <v>68.825999999999979</v>
      </c>
      <c r="G95" s="457">
        <f ca="1">IS!H54</f>
        <v>78.047573251462779</v>
      </c>
      <c r="H95" s="457">
        <f ca="1">IS!I54</f>
        <v>131.37291447833042</v>
      </c>
      <c r="I95" s="457">
        <f ca="1">IS!J54</f>
        <v>164.5154714158304</v>
      </c>
      <c r="J95" s="457">
        <f ca="1">IS!K54</f>
        <v>199.14670096270549</v>
      </c>
      <c r="K95" s="457">
        <f ca="1">IS!L54</f>
        <v>233.77793050958053</v>
      </c>
      <c r="L95" s="457">
        <f ca="1">IS!M54</f>
        <v>264.94603710176801</v>
      </c>
    </row>
    <row r="97" spans="3:12" ht="15" x14ac:dyDescent="0.25">
      <c r="D97" s="146">
        <v>2019</v>
      </c>
      <c r="E97" s="146">
        <v>2020</v>
      </c>
      <c r="F97" s="229">
        <v>2021</v>
      </c>
      <c r="G97" s="148">
        <v>2022</v>
      </c>
      <c r="H97" s="146">
        <v>2023</v>
      </c>
      <c r="I97" s="146">
        <f>H97+1</f>
        <v>2024</v>
      </c>
      <c r="J97" s="146">
        <f>I97+1</f>
        <v>2025</v>
      </c>
      <c r="K97" s="146">
        <f>J97+1</f>
        <v>2026</v>
      </c>
      <c r="L97" s="146">
        <f>K97+1</f>
        <v>2027</v>
      </c>
    </row>
    <row r="98" spans="3:12" ht="15" x14ac:dyDescent="0.25">
      <c r="D98" s="149">
        <v>43818</v>
      </c>
      <c r="E98" s="149">
        <f t="shared" ref="E98:L98" si="2">D98+365</f>
        <v>44183</v>
      </c>
      <c r="F98" s="232">
        <f t="shared" si="2"/>
        <v>44548</v>
      </c>
      <c r="G98" s="151">
        <f t="shared" si="2"/>
        <v>44913</v>
      </c>
      <c r="H98" s="149">
        <f t="shared" si="2"/>
        <v>45278</v>
      </c>
      <c r="I98" s="149">
        <f t="shared" si="2"/>
        <v>45643</v>
      </c>
      <c r="J98" s="149">
        <f t="shared" si="2"/>
        <v>46008</v>
      </c>
      <c r="K98" s="149">
        <f t="shared" si="2"/>
        <v>46373</v>
      </c>
      <c r="L98" s="149">
        <f t="shared" si="2"/>
        <v>46738</v>
      </c>
    </row>
    <row r="99" spans="3:12" x14ac:dyDescent="0.2">
      <c r="D99" s="460" t="s">
        <v>90</v>
      </c>
      <c r="E99" s="460" t="s">
        <v>90</v>
      </c>
      <c r="F99" s="461" t="s">
        <v>90</v>
      </c>
      <c r="G99" s="462" t="s">
        <v>91</v>
      </c>
      <c r="H99" s="460" t="s">
        <v>91</v>
      </c>
      <c r="I99" s="460" t="s">
        <v>91</v>
      </c>
      <c r="J99" s="460" t="s">
        <v>91</v>
      </c>
      <c r="K99" s="460" t="s">
        <v>91</v>
      </c>
      <c r="L99" s="460" t="s">
        <v>91</v>
      </c>
    </row>
    <row r="100" spans="3:12" s="125" customFormat="1" x14ac:dyDescent="0.2">
      <c r="D100" s="464"/>
      <c r="E100" s="464"/>
      <c r="F100" s="465"/>
      <c r="G100" s="464"/>
      <c r="H100" s="464"/>
      <c r="I100" s="464"/>
      <c r="J100" s="464"/>
      <c r="K100" s="464"/>
      <c r="L100" s="464"/>
    </row>
    <row r="101" spans="3:12" ht="15" x14ac:dyDescent="0.25">
      <c r="C101" s="205" t="str">
        <f>IS!B56</f>
        <v>GAAP Net Income</v>
      </c>
      <c r="D101" s="457">
        <f>IS!E56</f>
        <v>25.143000000000004</v>
      </c>
      <c r="E101" s="457">
        <f>IS!F56</f>
        <v>33.766000000000012</v>
      </c>
      <c r="F101" s="463">
        <f>IS!G56</f>
        <v>3.9439999999999853</v>
      </c>
      <c r="G101" s="457">
        <f ca="1">IS!H56</f>
        <v>24.662314065715819</v>
      </c>
      <c r="H101" s="457">
        <f ca="1">IS!I56</f>
        <v>58.083616002603598</v>
      </c>
      <c r="I101" s="457">
        <f ca="1">IS!J56</f>
        <v>87.605652560410221</v>
      </c>
      <c r="J101" s="457">
        <f ca="1">IS!K56</f>
        <v>115.60045439146884</v>
      </c>
      <c r="K101" s="457">
        <f ca="1">IS!L56</f>
        <v>141.70894408268762</v>
      </c>
      <c r="L101" s="457">
        <f ca="1">IS!M56</f>
        <v>165.55903930047199</v>
      </c>
    </row>
    <row r="102" spans="3:12" outlineLevel="1" x14ac:dyDescent="0.2">
      <c r="C102" s="397" t="str">
        <f>IS!B57</f>
        <v>Margin %</v>
      </c>
      <c r="D102" s="30">
        <f>IS!E57</f>
        <v>0.17400481674233198</v>
      </c>
      <c r="E102" s="30">
        <f>IS!F57</f>
        <v>0.19237912920612138</v>
      </c>
      <c r="F102" s="280">
        <f>IS!G57</f>
        <v>1.8498020749301097E-2</v>
      </c>
      <c r="G102" s="30">
        <f ca="1">IS!H57</f>
        <v>8.1314608106681022E-2</v>
      </c>
      <c r="H102" s="30">
        <f ca="1">IS!I57</f>
        <v>0.12355396774375123</v>
      </c>
      <c r="I102" s="30">
        <f ca="1">IS!J57</f>
        <v>0.14334806261338845</v>
      </c>
      <c r="J102" s="30">
        <f ca="1">IS!K57</f>
        <v>0.1513244927917636</v>
      </c>
      <c r="K102" s="30">
        <f ca="1">IS!L57</f>
        <v>0.15458441318600646</v>
      </c>
      <c r="L102" s="30">
        <f ca="1">IS!M57</f>
        <v>0.15704477692130611</v>
      </c>
    </row>
    <row r="103" spans="3:12" x14ac:dyDescent="0.2">
      <c r="F103" s="237"/>
    </row>
    <row r="104" spans="3:12" x14ac:dyDescent="0.2">
      <c r="C104" s="179" t="str">
        <f>IS!B59</f>
        <v>Adj. Net Income Schedule</v>
      </c>
      <c r="F104" s="237"/>
    </row>
    <row r="105" spans="3:12" x14ac:dyDescent="0.2">
      <c r="C105" s="1" t="str">
        <f>IS!B60</f>
        <v>Net income attributable to Shoals</v>
      </c>
      <c r="D105" s="64">
        <f>IS!E60</f>
        <v>25.143000000000004</v>
      </c>
      <c r="E105" s="64">
        <f>IS!F60</f>
        <v>33.766000000000012</v>
      </c>
      <c r="F105" s="243">
        <f>IS!G60</f>
        <v>2.3479999999999852</v>
      </c>
      <c r="G105" s="64">
        <f ca="1">IS!H60</f>
        <v>13.950314065715816</v>
      </c>
      <c r="H105" s="64">
        <f ca="1">IS!I60</f>
        <v>46.479616002603571</v>
      </c>
      <c r="I105" s="64">
        <f ca="1">IS!J60</f>
        <v>76.001652560410221</v>
      </c>
      <c r="J105" s="64">
        <f ca="1">IS!K60</f>
        <v>103.99645439146884</v>
      </c>
      <c r="K105" s="64">
        <f ca="1">IS!L60</f>
        <v>130.10494408268761</v>
      </c>
      <c r="L105" s="64">
        <f ca="1">IS!M60</f>
        <v>153.95503930047198</v>
      </c>
    </row>
    <row r="106" spans="3:12" x14ac:dyDescent="0.2">
      <c r="C106" s="1" t="str">
        <f>IS!B61</f>
        <v>Net income impact from pro forma conversion of Class B common stock to Class A common stock</v>
      </c>
      <c r="D106" s="64">
        <f>IS!E61</f>
        <v>0</v>
      </c>
      <c r="E106" s="64">
        <f>IS!F61</f>
        <v>0</v>
      </c>
      <c r="F106" s="243">
        <f>IS!G61</f>
        <v>1.5960000000000001</v>
      </c>
      <c r="G106" s="64">
        <f>IS!H61</f>
        <v>4.91</v>
      </c>
      <c r="H106" s="64">
        <f>IS!I61</f>
        <v>0</v>
      </c>
      <c r="I106" s="64">
        <f>IS!J61</f>
        <v>0</v>
      </c>
      <c r="J106" s="64">
        <f>IS!K61</f>
        <v>0</v>
      </c>
      <c r="K106" s="64">
        <f>IS!L61</f>
        <v>0</v>
      </c>
      <c r="L106" s="64">
        <f>IS!M61</f>
        <v>0</v>
      </c>
    </row>
    <row r="107" spans="3:12" x14ac:dyDescent="0.2">
      <c r="C107" s="1" t="str">
        <f>IS!B62</f>
        <v>Adjustment to the provision for income tax</v>
      </c>
      <c r="D107" s="64">
        <f>IS!E62</f>
        <v>-5.4560000000000004</v>
      </c>
      <c r="E107" s="64">
        <f>IS!F62</f>
        <v>-7.327</v>
      </c>
      <c r="F107" s="243">
        <f>IS!G62</f>
        <v>-0.45600000000000002</v>
      </c>
      <c r="G107" s="64">
        <f>IS!H62</f>
        <v>-1.161</v>
      </c>
      <c r="H107" s="64">
        <f>IS!I62</f>
        <v>0</v>
      </c>
      <c r="I107" s="64">
        <f>IS!J62</f>
        <v>0</v>
      </c>
      <c r="J107" s="64">
        <f>IS!K62</f>
        <v>0</v>
      </c>
      <c r="K107" s="64">
        <f>IS!L62</f>
        <v>0</v>
      </c>
      <c r="L107" s="64">
        <f>IS!M62</f>
        <v>0</v>
      </c>
    </row>
    <row r="108" spans="3:12" ht="15" x14ac:dyDescent="0.25">
      <c r="C108" s="205" t="str">
        <f>IS!B63</f>
        <v>Tax effected net income</v>
      </c>
      <c r="D108" s="457">
        <f>IS!E63</f>
        <v>19.687000000000005</v>
      </c>
      <c r="E108" s="457">
        <f>IS!F63</f>
        <v>26.439000000000014</v>
      </c>
      <c r="F108" s="463">
        <f>IS!G63</f>
        <v>3.4879999999999853</v>
      </c>
      <c r="G108" s="457">
        <f ca="1">IS!H63</f>
        <v>17.699314065715814</v>
      </c>
      <c r="H108" s="457">
        <f ca="1">IS!I63</f>
        <v>46.479616002603571</v>
      </c>
      <c r="I108" s="457">
        <f ca="1">IS!J63</f>
        <v>76.001652560410221</v>
      </c>
      <c r="J108" s="457">
        <f ca="1">IS!K63</f>
        <v>103.99645439146884</v>
      </c>
      <c r="K108" s="457">
        <f ca="1">IS!L63</f>
        <v>130.10494408268761</v>
      </c>
      <c r="L108" s="457">
        <f ca="1">IS!M63</f>
        <v>153.95503930047198</v>
      </c>
    </row>
    <row r="109" spans="3:12" x14ac:dyDescent="0.2">
      <c r="D109" s="64"/>
      <c r="E109" s="64"/>
      <c r="F109" s="243"/>
      <c r="G109" s="64"/>
      <c r="H109" s="64"/>
      <c r="I109" s="64"/>
      <c r="J109" s="64"/>
      <c r="K109" s="64"/>
      <c r="L109" s="64"/>
    </row>
    <row r="110" spans="3:12" x14ac:dyDescent="0.2">
      <c r="C110" s="1" t="str">
        <f>IS!B65</f>
        <v>Amortization of intangibles</v>
      </c>
      <c r="D110" s="64">
        <f>IS!E65</f>
        <v>7.984</v>
      </c>
      <c r="E110" s="64">
        <f>IS!F65</f>
        <v>7.9850000000000003</v>
      </c>
      <c r="F110" s="243">
        <f>IS!G65</f>
        <v>8.3520000000000003</v>
      </c>
      <c r="G110" s="64">
        <f>IS!H65</f>
        <v>8.6589999999999989</v>
      </c>
      <c r="H110" s="64">
        <f>IS!I65</f>
        <v>7.9180000000000001</v>
      </c>
      <c r="I110" s="64">
        <f>IS!J65</f>
        <v>7.585</v>
      </c>
      <c r="J110" s="64">
        <f>IS!K65</f>
        <v>7.585</v>
      </c>
      <c r="K110" s="64">
        <f>IS!L65</f>
        <v>7.585</v>
      </c>
      <c r="L110" s="64">
        <f>IS!M65</f>
        <v>7.585</v>
      </c>
    </row>
    <row r="111" spans="3:12" x14ac:dyDescent="0.2">
      <c r="C111" s="1" t="str">
        <f>IS!B66</f>
        <v>Amortization of deferred financing costs</v>
      </c>
      <c r="D111" s="64">
        <f>IS!E66</f>
        <v>3.7999999999999999E-2</v>
      </c>
      <c r="E111" s="64">
        <f>IS!F66</f>
        <v>0.35099999999999998</v>
      </c>
      <c r="F111" s="243">
        <f>IS!G66</f>
        <v>1.23</v>
      </c>
      <c r="G111" s="64">
        <f>IS!H66</f>
        <v>0.68400000000000005</v>
      </c>
      <c r="H111" s="64">
        <f>IS!I66</f>
        <v>0</v>
      </c>
      <c r="I111" s="64">
        <f>IS!J66</f>
        <v>0</v>
      </c>
      <c r="J111" s="64">
        <f>IS!K66</f>
        <v>0</v>
      </c>
      <c r="K111" s="64">
        <f>IS!L66</f>
        <v>0</v>
      </c>
      <c r="L111" s="64">
        <f>IS!M66</f>
        <v>0</v>
      </c>
    </row>
    <row r="112" spans="3:12" x14ac:dyDescent="0.2">
      <c r="C112" s="1" t="str">
        <f>IS!B67</f>
        <v>Payable pursuant to the TRA adjustment</v>
      </c>
      <c r="D112" s="64">
        <f>IS!E67</f>
        <v>0</v>
      </c>
      <c r="E112" s="64">
        <f>IS!F67</f>
        <v>0</v>
      </c>
      <c r="F112" s="243">
        <f>IS!G67</f>
        <v>1.663</v>
      </c>
      <c r="G112" s="64">
        <f>IS!H67</f>
        <v>0</v>
      </c>
      <c r="H112" s="64">
        <f>IS!I67</f>
        <v>0</v>
      </c>
      <c r="I112" s="64">
        <f>IS!J67</f>
        <v>0</v>
      </c>
      <c r="J112" s="64">
        <f>IS!K67</f>
        <v>0</v>
      </c>
      <c r="K112" s="64">
        <f>IS!L67</f>
        <v>0</v>
      </c>
      <c r="L112" s="64">
        <f>IS!M67</f>
        <v>0</v>
      </c>
    </row>
    <row r="113" spans="3:12" x14ac:dyDescent="0.2">
      <c r="C113" s="1" t="str">
        <f>IS!B68</f>
        <v>Loss on debt repayment</v>
      </c>
      <c r="D113" s="64">
        <f>IS!E68</f>
        <v>0</v>
      </c>
      <c r="E113" s="64">
        <f>IS!F68</f>
        <v>0</v>
      </c>
      <c r="F113" s="243">
        <f>IS!G68</f>
        <v>15.99</v>
      </c>
      <c r="G113" s="64">
        <f>IS!H68</f>
        <v>0</v>
      </c>
      <c r="H113" s="64">
        <f>IS!I68</f>
        <v>0</v>
      </c>
      <c r="I113" s="64">
        <f>IS!J68</f>
        <v>0</v>
      </c>
      <c r="J113" s="64">
        <f>IS!K68</f>
        <v>0</v>
      </c>
      <c r="K113" s="64">
        <f>IS!L68</f>
        <v>0</v>
      </c>
      <c r="L113" s="64">
        <f>IS!M68</f>
        <v>0</v>
      </c>
    </row>
    <row r="114" spans="3:12" x14ac:dyDescent="0.2">
      <c r="C114" s="1" t="str">
        <f>IS!B69</f>
        <v>Equity-based compensation</v>
      </c>
      <c r="D114" s="64">
        <f>IS!E69</f>
        <v>0</v>
      </c>
      <c r="E114" s="64">
        <f>IS!F69</f>
        <v>8.2509999999999994</v>
      </c>
      <c r="F114" s="243">
        <f>IS!G69</f>
        <v>11.286</v>
      </c>
      <c r="G114" s="64">
        <f>IS!H69</f>
        <v>16.840948251462784</v>
      </c>
      <c r="H114" s="64">
        <f>IS!I69</f>
        <v>25.990553228330384</v>
      </c>
      <c r="I114" s="64">
        <f>IS!J69</f>
        <v>25.990553228330384</v>
      </c>
      <c r="J114" s="64">
        <f>IS!K69</f>
        <v>25.990553228330384</v>
      </c>
      <c r="K114" s="64">
        <f>IS!L69</f>
        <v>25.990553228330384</v>
      </c>
      <c r="L114" s="64">
        <f>IS!M69</f>
        <v>25.990553228330384</v>
      </c>
    </row>
    <row r="115" spans="3:12" x14ac:dyDescent="0.2">
      <c r="C115" s="1" t="str">
        <f>IS!B70</f>
        <v>Acquisition-related expenses</v>
      </c>
      <c r="D115" s="64">
        <f>IS!E70</f>
        <v>0</v>
      </c>
      <c r="E115" s="64">
        <f>IS!F70</f>
        <v>0</v>
      </c>
      <c r="F115" s="243">
        <f>IS!G70</f>
        <v>2.3490000000000002</v>
      </c>
      <c r="G115" s="64">
        <f>IS!H70</f>
        <v>1.2E-2</v>
      </c>
      <c r="H115" s="64">
        <f>IS!I70</f>
        <v>0</v>
      </c>
      <c r="I115" s="64">
        <f>IS!J70</f>
        <v>0</v>
      </c>
      <c r="J115" s="64">
        <f>IS!K70</f>
        <v>0</v>
      </c>
      <c r="K115" s="64">
        <f>IS!L70</f>
        <v>0</v>
      </c>
      <c r="L115" s="64">
        <f>IS!M70</f>
        <v>0</v>
      </c>
    </row>
    <row r="116" spans="3:12" x14ac:dyDescent="0.2">
      <c r="C116" s="1" t="str">
        <f>IS!B71</f>
        <v>COVID-19 expenses</v>
      </c>
      <c r="D116" s="64">
        <f>IS!E71</f>
        <v>0</v>
      </c>
      <c r="E116" s="64">
        <f>IS!F71</f>
        <v>2.89</v>
      </c>
      <c r="F116" s="243">
        <f>IS!G71</f>
        <v>0.33900000000000002</v>
      </c>
      <c r="G116" s="64">
        <f>IS!H71</f>
        <v>0</v>
      </c>
      <c r="H116" s="64">
        <f>IS!I71</f>
        <v>0</v>
      </c>
      <c r="I116" s="64">
        <f>IS!J71</f>
        <v>0</v>
      </c>
      <c r="J116" s="64">
        <f>IS!K71</f>
        <v>0</v>
      </c>
      <c r="K116" s="64">
        <f>IS!L71</f>
        <v>0</v>
      </c>
      <c r="L116" s="64">
        <f>IS!M71</f>
        <v>0</v>
      </c>
    </row>
    <row r="117" spans="3:12" x14ac:dyDescent="0.2">
      <c r="C117" s="1" t="str">
        <f>IS!B72</f>
        <v>Non-recurring and other expenses</v>
      </c>
      <c r="D117" s="64">
        <f>IS!E72</f>
        <v>0.68600000000000005</v>
      </c>
      <c r="E117" s="64">
        <f>IS!F72</f>
        <v>3.077</v>
      </c>
      <c r="F117" s="243">
        <f>IS!G72</f>
        <v>2.5979999999999999</v>
      </c>
      <c r="G117" s="64">
        <f>IS!H72</f>
        <v>0</v>
      </c>
      <c r="H117" s="64">
        <f>IS!I72</f>
        <v>0</v>
      </c>
      <c r="I117" s="64">
        <f>IS!J72</f>
        <v>0</v>
      </c>
      <c r="J117" s="64">
        <f>IS!K72</f>
        <v>0</v>
      </c>
      <c r="K117" s="64">
        <f>IS!L72</f>
        <v>0</v>
      </c>
      <c r="L117" s="64">
        <f>IS!M72</f>
        <v>0</v>
      </c>
    </row>
    <row r="118" spans="3:12" x14ac:dyDescent="0.2">
      <c r="C118" s="1" t="str">
        <f>IS!B73</f>
        <v>Tax Impact of adjustments</v>
      </c>
      <c r="D118" s="64">
        <f>IS!E73</f>
        <v>-1.8089999999999999</v>
      </c>
      <c r="E118" s="64">
        <f>IS!F73</f>
        <v>-3.1040000000000001</v>
      </c>
      <c r="F118" s="243">
        <f>IS!G73</f>
        <v>-11.381</v>
      </c>
      <c r="G118" s="64">
        <f>IS!H73</f>
        <v>-5.8465691328071845</v>
      </c>
      <c r="H118" s="64">
        <f>IS!I73</f>
        <v>-7.12079617794938</v>
      </c>
      <c r="I118" s="64">
        <f>IS!J73</f>
        <v>-7.0508661779493806</v>
      </c>
      <c r="J118" s="64">
        <f>IS!K73</f>
        <v>-7.0508661779493806</v>
      </c>
      <c r="K118" s="64">
        <f>IS!L73</f>
        <v>-7.0508661779493806</v>
      </c>
      <c r="L118" s="64">
        <f>IS!M73</f>
        <v>-7.0508661779493806</v>
      </c>
    </row>
    <row r="119" spans="3:12" ht="15" x14ac:dyDescent="0.25">
      <c r="C119" s="205" t="str">
        <f>IS!B74</f>
        <v>Adjusted Net Income</v>
      </c>
      <c r="D119" s="457">
        <f>IS!E74</f>
        <v>26.586000000000006</v>
      </c>
      <c r="E119" s="457">
        <f>IS!F74</f>
        <v>45.88900000000001</v>
      </c>
      <c r="F119" s="463">
        <f>IS!G74</f>
        <v>35.913999999999987</v>
      </c>
      <c r="G119" s="457">
        <f ca="1">IS!H74</f>
        <v>38.048693184371416</v>
      </c>
      <c r="H119" s="457">
        <f ca="1">IS!I74</f>
        <v>73.267373052984567</v>
      </c>
      <c r="I119" s="457">
        <f ca="1">IS!J74</f>
        <v>102.52633961079121</v>
      </c>
      <c r="J119" s="457">
        <f ca="1">IS!K74</f>
        <v>130.52114144184984</v>
      </c>
      <c r="K119" s="457">
        <f ca="1">IS!L74</f>
        <v>156.62963113306861</v>
      </c>
      <c r="L119" s="457">
        <f ca="1">IS!M74</f>
        <v>180.47972635085299</v>
      </c>
    </row>
    <row r="124" spans="3:12" ht="15" x14ac:dyDescent="0.25">
      <c r="D124" s="146">
        <v>2019</v>
      </c>
      <c r="E124" s="146">
        <v>2020</v>
      </c>
      <c r="F124" s="229">
        <v>2021</v>
      </c>
      <c r="G124" s="148">
        <v>2022</v>
      </c>
      <c r="H124" s="146">
        <v>2023</v>
      </c>
      <c r="I124" s="146">
        <f>H124+1</f>
        <v>2024</v>
      </c>
      <c r="J124" s="146">
        <f>I124+1</f>
        <v>2025</v>
      </c>
      <c r="K124" s="146">
        <f>J124+1</f>
        <v>2026</v>
      </c>
      <c r="L124" s="146">
        <f>K124+1</f>
        <v>2027</v>
      </c>
    </row>
    <row r="125" spans="3:12" ht="15" x14ac:dyDescent="0.25">
      <c r="D125" s="149">
        <v>43818</v>
      </c>
      <c r="E125" s="149">
        <f t="shared" ref="E125:L125" si="3">D125+365</f>
        <v>44183</v>
      </c>
      <c r="F125" s="232">
        <f t="shared" si="3"/>
        <v>44548</v>
      </c>
      <c r="G125" s="151">
        <f t="shared" si="3"/>
        <v>44913</v>
      </c>
      <c r="H125" s="149">
        <f t="shared" si="3"/>
        <v>45278</v>
      </c>
      <c r="I125" s="149">
        <f t="shared" si="3"/>
        <v>45643</v>
      </c>
      <c r="J125" s="149">
        <f t="shared" si="3"/>
        <v>46008</v>
      </c>
      <c r="K125" s="149">
        <f t="shared" si="3"/>
        <v>46373</v>
      </c>
      <c r="L125" s="149">
        <f t="shared" si="3"/>
        <v>46738</v>
      </c>
    </row>
    <row r="126" spans="3:12" x14ac:dyDescent="0.2">
      <c r="D126" s="460" t="s">
        <v>90</v>
      </c>
      <c r="E126" s="460" t="s">
        <v>90</v>
      </c>
      <c r="F126" s="461" t="s">
        <v>90</v>
      </c>
      <c r="G126" s="462" t="s">
        <v>91</v>
      </c>
      <c r="H126" s="460" t="s">
        <v>91</v>
      </c>
      <c r="I126" s="460" t="s">
        <v>91</v>
      </c>
      <c r="J126" s="460" t="s">
        <v>91</v>
      </c>
      <c r="K126" s="460" t="s">
        <v>91</v>
      </c>
      <c r="L126" s="460" t="s">
        <v>91</v>
      </c>
    </row>
    <row r="127" spans="3:12" x14ac:dyDescent="0.2">
      <c r="F127" s="237"/>
    </row>
    <row r="128" spans="3:12" x14ac:dyDescent="0.2">
      <c r="C128" s="179" t="str">
        <f>CF!B7</f>
        <v>Cash Flow From Operating Activities:</v>
      </c>
      <c r="F128" s="237"/>
    </row>
    <row r="129" spans="3:12" x14ac:dyDescent="0.2">
      <c r="C129" s="1" t="str">
        <f>CF!B8</f>
        <v>GAAP Net Income</v>
      </c>
      <c r="D129" s="64">
        <f>CF!D8</f>
        <v>25.143000000000004</v>
      </c>
      <c r="E129" s="64">
        <f>CF!E8</f>
        <v>33.766000000000012</v>
      </c>
      <c r="F129" s="243">
        <f>CF!F8</f>
        <v>3.944</v>
      </c>
      <c r="G129" s="64">
        <f ca="1">CF!G8</f>
        <v>24.662314065715819</v>
      </c>
      <c r="H129" s="64">
        <f ca="1">CF!H8</f>
        <v>58.083616002603598</v>
      </c>
      <c r="I129" s="64">
        <f ca="1">CF!I8</f>
        <v>87.605652560410221</v>
      </c>
      <c r="J129" s="64">
        <f ca="1">CF!J8</f>
        <v>115.60045439146884</v>
      </c>
      <c r="K129" s="64">
        <f ca="1">CF!K8</f>
        <v>141.70894408268762</v>
      </c>
      <c r="L129" s="64">
        <f ca="1">CF!L8</f>
        <v>165.55903930047199</v>
      </c>
    </row>
    <row r="130" spans="3:12" x14ac:dyDescent="0.2">
      <c r="C130" s="1" t="str">
        <f>CF!B9</f>
        <v>Depreciation &amp; Amortization</v>
      </c>
      <c r="D130" s="64">
        <f>CF!D9</f>
        <v>9.1630000000000003</v>
      </c>
      <c r="E130" s="64">
        <f>CF!E9</f>
        <v>9.4050000000000011</v>
      </c>
      <c r="F130" s="243">
        <f>CF!F9</f>
        <v>10.053000000000001</v>
      </c>
      <c r="G130" s="64">
        <f>CF!G9</f>
        <v>11.945103999999999</v>
      </c>
      <c r="H130" s="64">
        <f>CF!H9</f>
        <v>12.81039825</v>
      </c>
      <c r="I130" s="64">
        <f>CF!I9</f>
        <v>13.558644924999999</v>
      </c>
      <c r="J130" s="64">
        <f>CF!J9</f>
        <v>14.933708631250001</v>
      </c>
      <c r="K130" s="64">
        <f>CF!K9</f>
        <v>16.614342050000001</v>
      </c>
      <c r="L130" s="64">
        <f>CF!L9</f>
        <v>17.455079695625003</v>
      </c>
    </row>
    <row r="131" spans="3:12" x14ac:dyDescent="0.2">
      <c r="C131" s="1" t="str">
        <f>CF!B10</f>
        <v>Amortization of Deferred Financing Fees</v>
      </c>
      <c r="D131" s="64">
        <f>CF!D10</f>
        <v>3.7999999999999999E-2</v>
      </c>
      <c r="E131" s="64">
        <f>CF!E10</f>
        <v>0.35099999999999998</v>
      </c>
      <c r="F131" s="243">
        <f>CF!F10</f>
        <v>5.9690000000000003</v>
      </c>
      <c r="G131" s="64">
        <f>CF!G10</f>
        <v>0.68400000000000005</v>
      </c>
      <c r="H131" s="64">
        <f>CF!H10</f>
        <v>0</v>
      </c>
      <c r="I131" s="64">
        <f>CF!I10</f>
        <v>0</v>
      </c>
      <c r="J131" s="64">
        <f>CF!J10</f>
        <v>0</v>
      </c>
      <c r="K131" s="64">
        <f>CF!K10</f>
        <v>0</v>
      </c>
      <c r="L131" s="64">
        <f>CF!L10</f>
        <v>0</v>
      </c>
    </row>
    <row r="132" spans="3:12" x14ac:dyDescent="0.2">
      <c r="C132" s="1" t="str">
        <f>CF!B11</f>
        <v>Equity Based Compensation</v>
      </c>
      <c r="D132" s="64">
        <f>CF!D11</f>
        <v>0</v>
      </c>
      <c r="E132" s="64">
        <f>CF!E11</f>
        <v>8.2509999999999994</v>
      </c>
      <c r="F132" s="243">
        <f>CF!F11</f>
        <v>11.286</v>
      </c>
      <c r="G132" s="64">
        <f>CF!G11</f>
        <v>16.840948251462784</v>
      </c>
      <c r="H132" s="64">
        <f>CF!H11</f>
        <v>25.990553228330384</v>
      </c>
      <c r="I132" s="64">
        <f>CF!I11</f>
        <v>25.990553228330384</v>
      </c>
      <c r="J132" s="64">
        <f>CF!J11</f>
        <v>25.990553228330384</v>
      </c>
      <c r="K132" s="64">
        <f>CF!K11</f>
        <v>25.990553228330384</v>
      </c>
      <c r="L132" s="64">
        <f>CF!L11</f>
        <v>25.990553228330384</v>
      </c>
    </row>
    <row r="133" spans="3:12" x14ac:dyDescent="0.2">
      <c r="C133" s="1" t="str">
        <f>CF!B12</f>
        <v xml:space="preserve">All other </v>
      </c>
      <c r="D133" s="64">
        <f>CF!D12</f>
        <v>0.30099999999999999</v>
      </c>
      <c r="E133" s="64">
        <f>CF!E12</f>
        <v>0.188</v>
      </c>
      <c r="F133" s="243">
        <f>CF!F12</f>
        <v>-1.1790000000000003</v>
      </c>
      <c r="G133" s="64">
        <f>CF!G12</f>
        <v>3.29</v>
      </c>
      <c r="H133" s="64">
        <f>CF!H12</f>
        <v>0</v>
      </c>
      <c r="I133" s="64">
        <f>CF!I12</f>
        <v>0</v>
      </c>
      <c r="J133" s="64">
        <f>CF!J12</f>
        <v>0</v>
      </c>
      <c r="K133" s="64">
        <f>CF!K12</f>
        <v>0</v>
      </c>
      <c r="L133" s="64">
        <f>CF!L12</f>
        <v>0</v>
      </c>
    </row>
    <row r="134" spans="3:12" ht="4.5" customHeight="1" x14ac:dyDescent="0.2">
      <c r="D134" s="64"/>
      <c r="E134" s="64"/>
      <c r="F134" s="243"/>
      <c r="G134" s="64"/>
      <c r="H134" s="64"/>
      <c r="I134" s="64"/>
      <c r="J134" s="64"/>
      <c r="K134" s="64"/>
      <c r="L134" s="64"/>
    </row>
    <row r="135" spans="3:12" x14ac:dyDescent="0.2">
      <c r="C135" s="1" t="str">
        <f>CF!B15</f>
        <v>Accounts Receivable</v>
      </c>
      <c r="D135" s="64">
        <f>CF!D15</f>
        <v>-0.47299999999999998</v>
      </c>
      <c r="E135" s="64">
        <f>CF!E15</f>
        <v>0.28800000000000026</v>
      </c>
      <c r="F135" s="243">
        <f>CF!F15</f>
        <v>0.81799999999999962</v>
      </c>
      <c r="G135" s="64">
        <f>CF!G15</f>
        <v>-13.25617808219177</v>
      </c>
      <c r="H135" s="64">
        <f>CF!H15</f>
        <v>-22.377589041095881</v>
      </c>
      <c r="I135" s="64">
        <f>CF!I15</f>
        <v>-16.356225363051166</v>
      </c>
      <c r="J135" s="64">
        <f>CF!J15</f>
        <v>-21.158169328729699</v>
      </c>
      <c r="K135" s="64">
        <f>CF!K15</f>
        <v>-20.929432363013689</v>
      </c>
      <c r="L135" s="64">
        <f>CF!L15</f>
        <v>-18.836489126712323</v>
      </c>
    </row>
    <row r="136" spans="3:12" x14ac:dyDescent="0.2">
      <c r="C136" s="1" t="str">
        <f>CF!B16</f>
        <v>Unbilled Receivables</v>
      </c>
      <c r="D136" s="64">
        <f>CF!D16</f>
        <v>-1.345</v>
      </c>
      <c r="E136" s="64">
        <f>CF!E16</f>
        <v>-1.2890000000000001</v>
      </c>
      <c r="F136" s="243">
        <f>CF!F16</f>
        <v>-9.7390000000000008</v>
      </c>
      <c r="G136" s="64">
        <f>CF!G16</f>
        <v>0.36971232876712534</v>
      </c>
      <c r="H136" s="64">
        <f>CF!H16</f>
        <v>-6.581643835616438</v>
      </c>
      <c r="I136" s="64">
        <f>CF!I16</f>
        <v>-5.301766239052327</v>
      </c>
      <c r="J136" s="64">
        <f>CF!J16</f>
        <v>-6.3474507986189117</v>
      </c>
      <c r="K136" s="64">
        <f>CF!K16</f>
        <v>-6.2788297089041087</v>
      </c>
      <c r="L136" s="64">
        <f>CF!L16</f>
        <v>-5.650946738013694</v>
      </c>
    </row>
    <row r="137" spans="3:12" x14ac:dyDescent="0.2">
      <c r="C137" s="1" t="str">
        <f>CF!B17</f>
        <v>Inventory</v>
      </c>
      <c r="D137" s="64">
        <f>CF!D17</f>
        <v>-0.69399999999999995</v>
      </c>
      <c r="E137" s="64">
        <f>CF!E17</f>
        <v>-6.4750000000000005</v>
      </c>
      <c r="F137" s="243">
        <f>CF!F17</f>
        <v>-17.187999999999999</v>
      </c>
      <c r="G137" s="64">
        <f>CF!G17</f>
        <v>-14.436931506849341</v>
      </c>
      <c r="H137" s="64">
        <f>CF!H17</f>
        <v>-21.238561643835567</v>
      </c>
      <c r="I137" s="64">
        <f>CF!I17</f>
        <v>11.426748785930805</v>
      </c>
      <c r="J137" s="64">
        <f>CF!J17</f>
        <v>-16.182568481992469</v>
      </c>
      <c r="K137" s="64">
        <f>CF!K17</f>
        <v>-16.13659235188355</v>
      </c>
      <c r="L137" s="64">
        <f>CF!L17</f>
        <v>-14.673625029708901</v>
      </c>
    </row>
    <row r="138" spans="3:12" x14ac:dyDescent="0.2">
      <c r="C138" s="1" t="str">
        <f>CF!B18</f>
        <v>Other Current Assets</v>
      </c>
      <c r="D138" s="64">
        <f>CF!D18</f>
        <v>0.13700000000000001</v>
      </c>
      <c r="E138" s="64">
        <f>CF!E18</f>
        <v>0.64300000000000002</v>
      </c>
      <c r="F138" s="243">
        <f>CF!F18</f>
        <v>0.34100000000000019</v>
      </c>
      <c r="G138" s="64">
        <f>CF!G18</f>
        <v>-2.1648999999999985</v>
      </c>
      <c r="H138" s="64">
        <f>CF!H18</f>
        <v>-3.6034499999999996</v>
      </c>
      <c r="I138" s="64">
        <f>CF!I18</f>
        <v>-7.5238327500000022</v>
      </c>
      <c r="J138" s="64">
        <f>CF!J18</f>
        <v>-4.5835456875000027</v>
      </c>
      <c r="K138" s="64">
        <f>CF!K18</f>
        <v>-4.5835456874999991</v>
      </c>
      <c r="L138" s="64">
        <f>CF!L18</f>
        <v>-4.1251911187499992</v>
      </c>
    </row>
    <row r="139" spans="3:12" x14ac:dyDescent="0.2">
      <c r="C139" s="1" t="str">
        <f>CF!B19</f>
        <v>Accounts Payable</v>
      </c>
      <c r="D139" s="64">
        <f>CF!D19</f>
        <v>4.1950000000000003</v>
      </c>
      <c r="E139" s="64">
        <f>CF!E19</f>
        <v>4.2510000000000012</v>
      </c>
      <c r="F139" s="243">
        <f>CF!F19</f>
        <v>-3.8769999999999998</v>
      </c>
      <c r="G139" s="64">
        <f>CF!G19</f>
        <v>-2.383356164383553</v>
      </c>
      <c r="H139" s="64">
        <f>CF!H19</f>
        <v>7.0795205479451901</v>
      </c>
      <c r="I139" s="64">
        <f>CF!I19</f>
        <v>17.063331859607771</v>
      </c>
      <c r="J139" s="64">
        <f>CF!J19</f>
        <v>10.788378987994975</v>
      </c>
      <c r="K139" s="64">
        <f>CF!K19</f>
        <v>10.757728234589031</v>
      </c>
      <c r="L139" s="64">
        <f>CF!L19</f>
        <v>9.7824166864725939</v>
      </c>
    </row>
    <row r="140" spans="3:12" x14ac:dyDescent="0.2">
      <c r="C140" s="1" t="str">
        <f>CF!B20</f>
        <v>Accrued Expenses</v>
      </c>
      <c r="D140" s="64">
        <f>CF!D20</f>
        <v>-0.28299999999999997</v>
      </c>
      <c r="E140" s="64">
        <f>CF!E20</f>
        <v>4.7029999999999994</v>
      </c>
      <c r="F140" s="243">
        <f>CF!F20</f>
        <v>-4.5109999999999992</v>
      </c>
      <c r="G140" s="64">
        <f>CF!G20</f>
        <v>6.4925000000000086</v>
      </c>
      <c r="H140" s="64">
        <f>CF!H20</f>
        <v>6.4600624999999852</v>
      </c>
      <c r="I140" s="64">
        <f>CF!I20</f>
        <v>32.480985750000009</v>
      </c>
      <c r="J140" s="64">
        <f>CF!J20</f>
        <v>13.750637062500005</v>
      </c>
      <c r="K140" s="64">
        <f>CF!K20</f>
        <v>13.750637062500005</v>
      </c>
      <c r="L140" s="64">
        <f>CF!L20</f>
        <v>12.375573356249987</v>
      </c>
    </row>
    <row r="141" spans="3:12" ht="15" x14ac:dyDescent="0.25">
      <c r="C141" s="205" t="str">
        <f>CF!B21</f>
        <v>Cash Flow From Operating Activities</v>
      </c>
      <c r="D141" s="457">
        <f>CF!D21</f>
        <v>36.182000000000002</v>
      </c>
      <c r="E141" s="457">
        <f>CF!E21</f>
        <v>54.082000000000008</v>
      </c>
      <c r="F141" s="463">
        <f>CF!F21</f>
        <v>-4.0830000000000002</v>
      </c>
      <c r="G141" s="457">
        <f ca="1">CF!G21</f>
        <v>32.043212892521069</v>
      </c>
      <c r="H141" s="457">
        <f ca="1">CF!H21</f>
        <v>56.622906008331263</v>
      </c>
      <c r="I141" s="457">
        <f ca="1">CF!I21</f>
        <v>158.9440927571757</v>
      </c>
      <c r="J141" s="457">
        <f ca="1">CF!J21</f>
        <v>132.79199800470309</v>
      </c>
      <c r="K141" s="457">
        <f ca="1">CF!K21</f>
        <v>160.89380454680568</v>
      </c>
      <c r="L141" s="457">
        <f ca="1">CF!L21</f>
        <v>187.87641025396508</v>
      </c>
    </row>
    <row r="142" spans="3:12" ht="4.5" customHeight="1" x14ac:dyDescent="0.2">
      <c r="D142" s="64"/>
      <c r="E142" s="64"/>
      <c r="F142" s="243"/>
      <c r="G142" s="64"/>
      <c r="H142" s="64"/>
      <c r="I142" s="64"/>
      <c r="J142" s="64"/>
      <c r="K142" s="64"/>
      <c r="L142" s="64"/>
    </row>
    <row r="143" spans="3:12" x14ac:dyDescent="0.2">
      <c r="C143" s="179" t="str">
        <f>CF!B23</f>
        <v>Cash Flow From Investing Activities:</v>
      </c>
      <c r="D143" s="64"/>
      <c r="E143" s="64"/>
      <c r="F143" s="243"/>
      <c r="G143" s="64"/>
      <c r="H143" s="64"/>
      <c r="I143" s="64"/>
      <c r="J143" s="64"/>
      <c r="K143" s="64"/>
      <c r="L143" s="64"/>
    </row>
    <row r="144" spans="3:12" x14ac:dyDescent="0.2">
      <c r="C144" s="1" t="str">
        <f>CF!B24</f>
        <v>Purchases of PP&amp;E</v>
      </c>
      <c r="D144" s="64">
        <f>CF!D24</f>
        <v>-1.7190000000000001</v>
      </c>
      <c r="E144" s="64">
        <f>CF!E24</f>
        <v>-3.2360000000000002</v>
      </c>
      <c r="F144" s="243">
        <f>CF!F24</f>
        <v>-4.1260000000000003</v>
      </c>
      <c r="G144" s="64">
        <f>CF!G24</f>
        <v>-3.76729</v>
      </c>
      <c r="H144" s="64">
        <f>CF!H24</f>
        <v>-4.7010725000000004</v>
      </c>
      <c r="I144" s="64">
        <f>CF!I24</f>
        <v>-6.1113942500000009</v>
      </c>
      <c r="J144" s="64">
        <f>CF!J24</f>
        <v>-7.6392428125000018</v>
      </c>
      <c r="K144" s="64">
        <f>CF!K24</f>
        <v>-9.1670913750000018</v>
      </c>
      <c r="L144" s="64">
        <f>CF!L24</f>
        <v>-10.54215508125</v>
      </c>
    </row>
    <row r="145" spans="3:12" x14ac:dyDescent="0.2">
      <c r="C145" s="1" t="str">
        <f>CF!B25</f>
        <v>Acquisition of Business, net of cash acquired</v>
      </c>
      <c r="D145" s="64">
        <f>CF!D25</f>
        <v>0</v>
      </c>
      <c r="E145" s="64">
        <f>CF!E25</f>
        <v>0</v>
      </c>
      <c r="F145" s="243">
        <f>CF!F25</f>
        <v>-12.909000000000001</v>
      </c>
      <c r="G145" s="64">
        <f>CF!G25</f>
        <v>0</v>
      </c>
      <c r="H145" s="64">
        <f>CF!H25</f>
        <v>0</v>
      </c>
      <c r="I145" s="64">
        <f>CF!I25</f>
        <v>0</v>
      </c>
      <c r="J145" s="64">
        <f>CF!J25</f>
        <v>0</v>
      </c>
      <c r="K145" s="64">
        <f>CF!K25</f>
        <v>0</v>
      </c>
      <c r="L145" s="64">
        <f>CF!L25</f>
        <v>0</v>
      </c>
    </row>
    <row r="146" spans="3:12" ht="15" x14ac:dyDescent="0.25">
      <c r="C146" s="205" t="str">
        <f>CF!B26</f>
        <v>Cash Flow From Investing Activities</v>
      </c>
      <c r="D146" s="457">
        <f>CF!D26</f>
        <v>-1.7190000000000001</v>
      </c>
      <c r="E146" s="457">
        <f>CF!E26</f>
        <v>-3.2360000000000002</v>
      </c>
      <c r="F146" s="463">
        <f>CF!F26</f>
        <v>-17.035</v>
      </c>
      <c r="G146" s="457">
        <f>CF!G26</f>
        <v>-3.76729</v>
      </c>
      <c r="H146" s="457">
        <f>CF!H26</f>
        <v>-4.7010725000000004</v>
      </c>
      <c r="I146" s="457">
        <f>CF!I26</f>
        <v>-6.1113942500000009</v>
      </c>
      <c r="J146" s="457">
        <f>CF!J26</f>
        <v>-7.6392428125000018</v>
      </c>
      <c r="K146" s="457">
        <f>CF!K26</f>
        <v>-9.1670913750000018</v>
      </c>
      <c r="L146" s="457">
        <f>CF!L26</f>
        <v>-10.54215508125</v>
      </c>
    </row>
    <row r="147" spans="3:12" ht="4.5" customHeight="1" x14ac:dyDescent="0.2">
      <c r="D147" s="64"/>
      <c r="E147" s="64"/>
      <c r="F147" s="243"/>
      <c r="G147" s="64"/>
      <c r="H147" s="64"/>
      <c r="I147" s="64"/>
      <c r="J147" s="64"/>
      <c r="K147" s="64"/>
      <c r="L147" s="64"/>
    </row>
    <row r="148" spans="3:12" x14ac:dyDescent="0.2">
      <c r="C148" s="179" t="str">
        <f>CF!B29</f>
        <v>Cash Flow From Financing Activities:</v>
      </c>
      <c r="D148" s="64">
        <f>CF!D29</f>
        <v>0</v>
      </c>
      <c r="E148" s="64">
        <f>CF!E29</f>
        <v>0</v>
      </c>
      <c r="F148" s="243">
        <f>CF!F29</f>
        <v>0</v>
      </c>
      <c r="G148" s="64">
        <f>CF!G29</f>
        <v>0</v>
      </c>
      <c r="H148" s="64">
        <f>CF!H29</f>
        <v>0</v>
      </c>
      <c r="I148" s="64">
        <f>CF!I29</f>
        <v>0</v>
      </c>
      <c r="J148" s="64">
        <f>CF!J29</f>
        <v>0</v>
      </c>
      <c r="K148" s="64">
        <f>CF!K29</f>
        <v>0</v>
      </c>
      <c r="L148" s="64">
        <f>CF!L29</f>
        <v>0</v>
      </c>
    </row>
    <row r="149" spans="3:12" x14ac:dyDescent="0.2">
      <c r="C149" s="1" t="str">
        <f>CF!B30</f>
        <v>Net Proceeds from Equity Offering</v>
      </c>
      <c r="D149" s="64">
        <f>CF!D30</f>
        <v>0</v>
      </c>
      <c r="E149" s="64">
        <f>CF!E30</f>
        <v>0</v>
      </c>
      <c r="F149" s="243">
        <f>CF!F30</f>
        <v>144.81700000000001</v>
      </c>
      <c r="G149" s="64">
        <f>CF!G30</f>
        <v>0</v>
      </c>
      <c r="H149" s="64">
        <f>CF!H30</f>
        <v>0</v>
      </c>
      <c r="I149" s="64">
        <f>CF!I30</f>
        <v>0</v>
      </c>
      <c r="J149" s="64">
        <f>CF!J30</f>
        <v>0</v>
      </c>
      <c r="K149" s="64">
        <f>CF!K30</f>
        <v>0</v>
      </c>
      <c r="L149" s="64">
        <f>CF!L30</f>
        <v>0</v>
      </c>
    </row>
    <row r="150" spans="3:12" x14ac:dyDescent="0.2">
      <c r="C150" s="1" t="str">
        <f>CF!B31</f>
        <v>Net Debt Financing Activity</v>
      </c>
      <c r="D150" s="64">
        <f>CF!D31</f>
        <v>-13.5</v>
      </c>
      <c r="E150" s="64">
        <f>CF!E31</f>
        <v>331.92899999999997</v>
      </c>
      <c r="F150" s="243">
        <f>CF!F31</f>
        <v>-119.241</v>
      </c>
      <c r="G150" s="64">
        <f ca="1">CF!G31</f>
        <v>10.04507710747896</v>
      </c>
      <c r="H150" s="64">
        <f ca="1">CF!H31</f>
        <v>-11.921833508331275</v>
      </c>
      <c r="I150" s="64">
        <f ca="1">CF!I31</f>
        <v>-54.263243599147671</v>
      </c>
      <c r="J150" s="64">
        <f ca="1">CF!J31</f>
        <v>0</v>
      </c>
      <c r="K150" s="64">
        <f ca="1">CF!K31</f>
        <v>0</v>
      </c>
      <c r="L150" s="64">
        <f ca="1">CF!L31</f>
        <v>0</v>
      </c>
    </row>
    <row r="151" spans="3:12" x14ac:dyDescent="0.2">
      <c r="C151" s="1" t="str">
        <f>CF!B32</f>
        <v>Other</v>
      </c>
      <c r="D151" s="64">
        <f>CF!D32</f>
        <v>-13.989000000000001</v>
      </c>
      <c r="E151" s="64">
        <f>CF!E32</f>
        <v>-379.78399999999999</v>
      </c>
      <c r="F151" s="243">
        <f>CF!F32</f>
        <v>-4.9740000000000002</v>
      </c>
      <c r="G151" s="64">
        <f>CF!G32</f>
        <v>-5.8629999999999995</v>
      </c>
      <c r="H151" s="64">
        <f>CF!H32</f>
        <v>0</v>
      </c>
      <c r="I151" s="64">
        <f>CF!I32</f>
        <v>0</v>
      </c>
      <c r="J151" s="64">
        <f>CF!J32</f>
        <v>0</v>
      </c>
      <c r="K151" s="64">
        <f>CF!K32</f>
        <v>0</v>
      </c>
      <c r="L151" s="64">
        <f>CF!L32</f>
        <v>0</v>
      </c>
    </row>
    <row r="152" spans="3:12" ht="4.5" customHeight="1" x14ac:dyDescent="0.2">
      <c r="D152" s="64"/>
      <c r="E152" s="64"/>
      <c r="F152" s="243"/>
      <c r="G152" s="64"/>
      <c r="H152" s="64"/>
      <c r="I152" s="64"/>
      <c r="J152" s="64"/>
      <c r="K152" s="64"/>
      <c r="L152" s="64"/>
    </row>
    <row r="153" spans="3:12" ht="15" x14ac:dyDescent="0.25">
      <c r="C153" s="205" t="str">
        <f>CF!B35</f>
        <v>Cash Flow From Financing Activities</v>
      </c>
      <c r="D153" s="457">
        <f>CF!D35</f>
        <v>-27.489000000000001</v>
      </c>
      <c r="E153" s="457">
        <f>CF!E35</f>
        <v>-47.855000000000018</v>
      </c>
      <c r="F153" s="463">
        <f>CF!F35</f>
        <v>20.602000000000007</v>
      </c>
      <c r="G153" s="457">
        <f ca="1">CF!G35</f>
        <v>4.1820771074789604</v>
      </c>
      <c r="H153" s="457">
        <f ca="1">CF!H35</f>
        <v>-11.921833508331275</v>
      </c>
      <c r="I153" s="457">
        <f ca="1">CF!I35</f>
        <v>-54.263243599147671</v>
      </c>
      <c r="J153" s="457">
        <f ca="1">CF!J35</f>
        <v>0</v>
      </c>
      <c r="K153" s="457">
        <f ca="1">CF!K35</f>
        <v>0</v>
      </c>
      <c r="L153" s="457">
        <f ca="1">CF!L35</f>
        <v>0</v>
      </c>
    </row>
    <row r="154" spans="3:12" ht="4.5" customHeight="1" x14ac:dyDescent="0.2">
      <c r="D154" s="64"/>
      <c r="E154" s="64"/>
      <c r="F154" s="243"/>
      <c r="G154" s="64"/>
      <c r="H154" s="64"/>
      <c r="I154" s="64"/>
      <c r="J154" s="64"/>
      <c r="K154" s="64"/>
      <c r="L154" s="64"/>
    </row>
    <row r="155" spans="3:12" ht="15" x14ac:dyDescent="0.25">
      <c r="C155" s="205" t="str">
        <f>CF!B37</f>
        <v>Net Change in Cash</v>
      </c>
      <c r="D155" s="457">
        <f>CF!D37</f>
        <v>6.9740000000000002</v>
      </c>
      <c r="E155" s="457">
        <f>CF!E37</f>
        <v>2.9909999999999926</v>
      </c>
      <c r="F155" s="463">
        <f>CF!F37</f>
        <v>-0.51599999999999469</v>
      </c>
      <c r="G155" s="457">
        <f ca="1">CF!G37</f>
        <v>32.458000000000027</v>
      </c>
      <c r="H155" s="457">
        <f ca="1">CF!H37</f>
        <v>39.999999999999986</v>
      </c>
      <c r="I155" s="457">
        <f ca="1">CF!I37</f>
        <v>98.569454908028035</v>
      </c>
      <c r="J155" s="457">
        <f ca="1">CF!J37</f>
        <v>125.15275519220309</v>
      </c>
      <c r="K155" s="457">
        <f ca="1">CF!K37</f>
        <v>151.72671317180567</v>
      </c>
      <c r="L155" s="457">
        <f ca="1">CF!L37</f>
        <v>177.33425517271507</v>
      </c>
    </row>
    <row r="156" spans="3:12" ht="4.5" customHeight="1" x14ac:dyDescent="0.2">
      <c r="D156" s="64"/>
      <c r="E156" s="64"/>
      <c r="F156" s="243"/>
      <c r="G156" s="64"/>
      <c r="H156" s="64"/>
      <c r="I156" s="64"/>
      <c r="J156" s="64"/>
      <c r="K156" s="64"/>
      <c r="L156" s="64"/>
    </row>
    <row r="157" spans="3:12" ht="15" x14ac:dyDescent="0.25">
      <c r="C157" s="205" t="str">
        <f>CF!B39</f>
        <v>Beginning Cash</v>
      </c>
      <c r="D157" s="457">
        <f>CF!D39</f>
        <v>0.108</v>
      </c>
      <c r="E157" s="457">
        <f>CF!E39</f>
        <v>7.0819999999999999</v>
      </c>
      <c r="F157" s="463">
        <f>CF!F39</f>
        <v>10.072999999999993</v>
      </c>
      <c r="G157" s="457">
        <f>CF!G39</f>
        <v>5.0059999999999985</v>
      </c>
      <c r="H157" s="457">
        <f>CF!H39</f>
        <v>0</v>
      </c>
      <c r="I157" s="457">
        <f ca="1">CF!I39</f>
        <v>70.094000000000008</v>
      </c>
      <c r="J157" s="457">
        <f ca="1">CF!J39</f>
        <v>168.66345490802803</v>
      </c>
      <c r="K157" s="457">
        <f ca="1">CF!K39</f>
        <v>293.8162101002311</v>
      </c>
      <c r="L157" s="457">
        <f ca="1">CF!L39</f>
        <v>445.54292327203677</v>
      </c>
    </row>
    <row r="158" spans="3:12" ht="15" x14ac:dyDescent="0.25">
      <c r="C158" s="205" t="str">
        <f>CF!B40</f>
        <v>Ending Cash</v>
      </c>
      <c r="D158" s="457">
        <f>CF!D40</f>
        <v>7.0819999999999999</v>
      </c>
      <c r="E158" s="457">
        <f>CF!E40</f>
        <v>10.072999999999993</v>
      </c>
      <c r="F158" s="463">
        <f>CF!F40</f>
        <v>9.5569999999999986</v>
      </c>
      <c r="G158" s="457">
        <f ca="1">CF!G40</f>
        <v>37.464000000000027</v>
      </c>
      <c r="H158" s="457">
        <f ca="1">CF!H40</f>
        <v>70.094000000000008</v>
      </c>
      <c r="I158" s="457">
        <f ca="1">CF!I40</f>
        <v>168.66345490802803</v>
      </c>
      <c r="J158" s="457">
        <f ca="1">CF!J40</f>
        <v>293.8162101002311</v>
      </c>
      <c r="K158" s="457">
        <f ca="1">CF!K40</f>
        <v>445.54292327203677</v>
      </c>
      <c r="L158" s="457">
        <f ca="1">CF!L40</f>
        <v>622.87717844475185</v>
      </c>
    </row>
    <row r="159" spans="3:12" x14ac:dyDescent="0.2">
      <c r="D159" s="64"/>
      <c r="E159" s="64"/>
      <c r="F159" s="64"/>
      <c r="G159" s="64"/>
      <c r="H159" s="64"/>
      <c r="I159" s="64"/>
      <c r="J159" s="64"/>
      <c r="K159" s="64"/>
      <c r="L159" s="64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2045C-8B40-4CF5-9C88-20C59B8EC2D8}">
  <sheetPr>
    <tabColor theme="8"/>
  </sheetPr>
  <dimension ref="E6:H17"/>
  <sheetViews>
    <sheetView workbookViewId="0"/>
  </sheetViews>
  <sheetFormatPr defaultRowHeight="14.25" x14ac:dyDescent="0.2"/>
  <cols>
    <col min="1" max="4" width="9.140625" style="1"/>
    <col min="5" max="5" width="23.85546875" style="1" bestFit="1" customWidth="1"/>
    <col min="6" max="16384" width="9.140625" style="1"/>
  </cols>
  <sheetData>
    <row r="6" spans="5:8" ht="15" x14ac:dyDescent="0.25">
      <c r="E6" s="6"/>
      <c r="F6" s="6" t="s">
        <v>696</v>
      </c>
      <c r="G6" s="6" t="s">
        <v>697</v>
      </c>
      <c r="H6" s="6" t="s">
        <v>698</v>
      </c>
    </row>
    <row r="7" spans="5:8" x14ac:dyDescent="0.2">
      <c r="E7" s="1" t="s">
        <v>695</v>
      </c>
      <c r="F7" s="388">
        <f>'TAM Builds'!H51</f>
        <v>595</v>
      </c>
      <c r="G7" s="388">
        <f>'TAM Builds'!P51</f>
        <v>870.31694896580393</v>
      </c>
      <c r="H7" s="388">
        <f>'TAM Builds'!U51</f>
        <v>1400.0000000002706</v>
      </c>
    </row>
    <row r="8" spans="5:8" x14ac:dyDescent="0.2">
      <c r="E8" s="1" t="s">
        <v>699</v>
      </c>
      <c r="F8" s="388">
        <f>'TAM Builds'!H53</f>
        <v>213.21199999999999</v>
      </c>
      <c r="G8" s="388">
        <f>'TAM Builds'!P53</f>
        <v>532.78188093750009</v>
      </c>
      <c r="H8" s="388">
        <f>'TAM Builds'!U53</f>
        <v>768.60006947212503</v>
      </c>
    </row>
    <row r="9" spans="5:8" ht="15" x14ac:dyDescent="0.25">
      <c r="E9" s="205" t="s">
        <v>700</v>
      </c>
      <c r="F9" s="563">
        <f>F8/F7</f>
        <v>0.35833949579831931</v>
      </c>
      <c r="G9" s="563">
        <f t="shared" ref="G9:H9" si="0">G8/G7</f>
        <v>0.61216994747787445</v>
      </c>
      <c r="H9" s="563">
        <f t="shared" si="0"/>
        <v>0.54900004962284032</v>
      </c>
    </row>
    <row r="10" spans="5:8" ht="5.25" customHeight="1" x14ac:dyDescent="0.2"/>
    <row r="11" spans="5:8" x14ac:dyDescent="0.2">
      <c r="E11" s="1" t="s">
        <v>704</v>
      </c>
      <c r="F11" s="388">
        <f>'TAM Builds'!H66</f>
        <v>135.99999999999997</v>
      </c>
      <c r="G11" s="388">
        <f>'TAM Builds'!P66</f>
        <v>198.92958833504082</v>
      </c>
      <c r="H11" s="388">
        <f>'TAM Builds'!U66</f>
        <v>320.00000000006173</v>
      </c>
    </row>
    <row r="12" spans="5:8" x14ac:dyDescent="0.2">
      <c r="E12" s="1" t="s">
        <v>699</v>
      </c>
      <c r="F12" s="388"/>
      <c r="G12" s="388">
        <f>'TAM Builds'!P68</f>
        <v>32.428440000000002</v>
      </c>
      <c r="H12" s="388">
        <f>'TAM Builds'!U68</f>
        <v>73.979405527499978</v>
      </c>
    </row>
    <row r="13" spans="5:8" ht="15" x14ac:dyDescent="0.25">
      <c r="E13" s="205" t="s">
        <v>701</v>
      </c>
      <c r="F13" s="563">
        <f>F12/F11</f>
        <v>0</v>
      </c>
      <c r="G13" s="563">
        <f t="shared" ref="G13" si="1">G12/G11</f>
        <v>0.16301466398946865</v>
      </c>
      <c r="H13" s="563">
        <f t="shared" ref="H13" si="2">H12/H11</f>
        <v>0.23118564227339283</v>
      </c>
    </row>
    <row r="14" spans="5:8" ht="5.25" customHeight="1" x14ac:dyDescent="0.2"/>
    <row r="15" spans="5:8" x14ac:dyDescent="0.2">
      <c r="E15" s="1" t="s">
        <v>703</v>
      </c>
      <c r="F15" s="388">
        <f>'TAM Builds'!H80</f>
        <v>300</v>
      </c>
      <c r="G15" s="388">
        <f>'TAM Builds'!P80</f>
        <v>1422.6753419772047</v>
      </c>
      <c r="H15" s="388">
        <f>'TAM Builds'!U80</f>
        <v>2006.3002751999989</v>
      </c>
    </row>
    <row r="16" spans="5:8" x14ac:dyDescent="0.2">
      <c r="E16" s="1" t="s">
        <v>699</v>
      </c>
      <c r="F16" s="388"/>
      <c r="G16" s="388">
        <f>'TAM Builds'!P82</f>
        <v>21.12</v>
      </c>
      <c r="H16" s="388">
        <f>'TAM Builds'!U82</f>
        <v>48.181319999999985</v>
      </c>
    </row>
    <row r="17" spans="5:8" ht="15" x14ac:dyDescent="0.25">
      <c r="E17" s="205" t="s">
        <v>702</v>
      </c>
      <c r="F17" s="563">
        <f>F16/F15</f>
        <v>0</v>
      </c>
      <c r="G17" s="563">
        <f t="shared" ref="G17" si="3">G16/G15</f>
        <v>1.4845270299440112E-2</v>
      </c>
      <c r="H17" s="563">
        <f t="shared" ref="H17" si="4">H16/H15</f>
        <v>2.4015009415874707E-2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DE878-8AB9-4F6A-8236-56E95C4BA744}">
  <sheetPr>
    <tabColor theme="1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2235F-D945-4C8B-8169-4C0C00650ED3}">
  <sheetPr>
    <tabColor theme="1"/>
  </sheetPr>
  <dimension ref="A1:CW33"/>
  <sheetViews>
    <sheetView zoomScale="85" zoomScaleNormal="85" workbookViewId="0">
      <selection activeCell="J6" sqref="J6"/>
    </sheetView>
  </sheetViews>
  <sheetFormatPr defaultRowHeight="14.25" x14ac:dyDescent="0.2"/>
  <cols>
    <col min="1" max="1" width="10.7109375" style="1" bestFit="1" customWidth="1"/>
    <col min="2" max="2" width="11.5703125" style="1" bestFit="1" customWidth="1"/>
    <col min="3" max="3" width="35.140625" style="1" bestFit="1" customWidth="1"/>
    <col min="4" max="5" width="9.42578125" style="1" bestFit="1" customWidth="1"/>
    <col min="6" max="6" width="14.140625" style="1" bestFit="1" customWidth="1"/>
    <col min="7" max="7" width="16.140625" style="1" bestFit="1" customWidth="1"/>
    <col min="8" max="8" width="9.140625" style="1"/>
    <col min="9" max="16" width="10.7109375" style="1" bestFit="1" customWidth="1"/>
    <col min="17" max="17" width="9.140625" style="1"/>
    <col min="18" max="25" width="9.7109375" style="1" bestFit="1" customWidth="1"/>
    <col min="26" max="26" width="9.140625" style="1"/>
    <col min="27" max="34" width="9.7109375" style="1" bestFit="1" customWidth="1"/>
    <col min="35" max="35" width="9.140625" style="1"/>
    <col min="36" max="38" width="9.42578125" style="1" bestFit="1" customWidth="1"/>
    <col min="39" max="41" width="9.7109375" style="1" bestFit="1" customWidth="1"/>
    <col min="42" max="43" width="9.42578125" style="1" bestFit="1" customWidth="1"/>
    <col min="44" max="44" width="9.140625" style="1"/>
    <col min="45" max="48" width="9.7109375" style="1" bestFit="1" customWidth="1"/>
    <col min="49" max="49" width="10.42578125" style="1" bestFit="1" customWidth="1"/>
    <col min="50" max="52" width="9.7109375" style="1" bestFit="1" customWidth="1"/>
    <col min="53" max="53" width="9.140625" style="1"/>
    <col min="54" max="58" width="9.28515625" style="1" bestFit="1" customWidth="1"/>
    <col min="59" max="59" width="9.140625" style="1"/>
    <col min="60" max="64" width="9.28515625" style="1" bestFit="1" customWidth="1"/>
    <col min="65" max="65" width="9.140625" style="1"/>
    <col min="66" max="69" width="10.5703125" style="1" bestFit="1" customWidth="1"/>
    <col min="70" max="70" width="9.140625" style="1"/>
    <col min="71" max="71" width="18.85546875" style="1" customWidth="1"/>
    <col min="72" max="72" width="9.140625" style="1"/>
    <col min="73" max="80" width="9.7109375" style="1" bestFit="1" customWidth="1"/>
    <col min="81" max="82" width="9.7109375" style="1" customWidth="1"/>
    <col min="83" max="83" width="9.140625" style="1"/>
    <col min="84" max="91" width="9.7109375" style="1" bestFit="1" customWidth="1"/>
    <col min="92" max="92" width="9.140625" style="1"/>
    <col min="93" max="93" width="9.7109375" style="1" customWidth="1"/>
    <col min="94" max="100" width="9.140625" style="1"/>
    <col min="101" max="101" width="18.85546875" style="1" customWidth="1"/>
    <col min="102" max="16384" width="9.140625" style="1"/>
  </cols>
  <sheetData>
    <row r="1" spans="1:101" x14ac:dyDescent="0.2">
      <c r="A1" s="1" t="s">
        <v>479</v>
      </c>
      <c r="B1" s="82">
        <f>Cover!$B$35</f>
        <v>44862</v>
      </c>
    </row>
    <row r="3" spans="1:101" ht="15" x14ac:dyDescent="0.25">
      <c r="C3" s="6"/>
      <c r="D3" s="6"/>
      <c r="E3" s="6"/>
      <c r="F3" s="6"/>
      <c r="G3" s="6"/>
      <c r="H3" s="6"/>
      <c r="I3" s="6" t="s">
        <v>29</v>
      </c>
      <c r="J3" s="6"/>
      <c r="K3" s="6"/>
      <c r="L3" s="6"/>
      <c r="M3" s="6"/>
      <c r="N3" s="6"/>
      <c r="O3" s="6"/>
      <c r="P3" s="6"/>
      <c r="Q3" s="6"/>
      <c r="R3" s="6" t="s">
        <v>482</v>
      </c>
      <c r="S3" s="6"/>
      <c r="T3" s="6"/>
      <c r="U3" s="6"/>
      <c r="V3" s="6"/>
      <c r="W3" s="6"/>
      <c r="X3" s="6"/>
      <c r="Y3" s="6"/>
      <c r="Z3" s="6"/>
      <c r="AA3" s="6" t="s">
        <v>31</v>
      </c>
      <c r="AB3" s="6"/>
      <c r="AC3" s="6"/>
      <c r="AD3" s="6"/>
      <c r="AE3" s="6"/>
      <c r="AF3" s="6"/>
      <c r="AG3" s="6"/>
      <c r="AH3" s="6"/>
      <c r="AI3" s="6"/>
      <c r="AJ3" s="6" t="s">
        <v>483</v>
      </c>
      <c r="AK3" s="6"/>
      <c r="AL3" s="6"/>
      <c r="AM3" s="6"/>
      <c r="AN3" s="6"/>
      <c r="AO3" s="6"/>
      <c r="AP3" s="6"/>
      <c r="AQ3" s="6"/>
      <c r="AR3" s="6"/>
      <c r="AS3" s="6" t="s">
        <v>484</v>
      </c>
      <c r="AT3" s="6"/>
      <c r="AU3" s="6"/>
      <c r="AV3" s="6"/>
      <c r="AW3" s="6"/>
      <c r="AX3" s="6"/>
      <c r="AY3" s="6"/>
      <c r="AZ3" s="6"/>
      <c r="BA3" s="6"/>
      <c r="BB3" s="6" t="s">
        <v>485</v>
      </c>
      <c r="BC3" s="6"/>
      <c r="BD3" s="6"/>
      <c r="BE3" s="6"/>
      <c r="BF3" s="6"/>
      <c r="BG3" s="6"/>
      <c r="BH3" s="6" t="s">
        <v>486</v>
      </c>
      <c r="BI3" s="6"/>
      <c r="BJ3" s="6"/>
      <c r="BK3" s="6"/>
      <c r="BL3" s="6"/>
      <c r="BM3" s="6"/>
      <c r="BN3" s="6" t="s">
        <v>102</v>
      </c>
      <c r="BO3" s="6"/>
      <c r="BP3" s="6"/>
      <c r="BQ3" s="6"/>
      <c r="BS3" s="6" t="s">
        <v>587</v>
      </c>
      <c r="BU3" s="6" t="s">
        <v>93</v>
      </c>
      <c r="BV3" s="6"/>
      <c r="BW3" s="6"/>
      <c r="BX3" s="6"/>
      <c r="BY3" s="6"/>
      <c r="BZ3" s="6"/>
      <c r="CA3" s="6"/>
      <c r="CB3" s="6"/>
      <c r="CD3" s="6" t="s">
        <v>620</v>
      </c>
      <c r="CF3" s="6" t="s">
        <v>552</v>
      </c>
      <c r="CG3" s="6"/>
      <c r="CH3" s="6"/>
      <c r="CI3" s="6"/>
      <c r="CJ3" s="6"/>
      <c r="CK3" s="6"/>
      <c r="CL3" s="6"/>
      <c r="CM3" s="6"/>
      <c r="CO3" s="6" t="s">
        <v>620</v>
      </c>
      <c r="CW3" s="6" t="s">
        <v>588</v>
      </c>
    </row>
    <row r="4" spans="1:101" ht="15" x14ac:dyDescent="0.25">
      <c r="C4" s="6" t="s">
        <v>478</v>
      </c>
      <c r="D4" s="6" t="s">
        <v>6</v>
      </c>
      <c r="E4" s="6" t="s">
        <v>56</v>
      </c>
      <c r="F4" s="6" t="s">
        <v>480</v>
      </c>
      <c r="G4" s="6" t="s">
        <v>481</v>
      </c>
      <c r="H4" s="6"/>
      <c r="I4" s="6">
        <v>2018</v>
      </c>
      <c r="J4" s="6">
        <f>I4+1</f>
        <v>2019</v>
      </c>
      <c r="K4" s="6">
        <f t="shared" ref="K4:P4" si="0">J4+1</f>
        <v>2020</v>
      </c>
      <c r="L4" s="6">
        <f t="shared" si="0"/>
        <v>2021</v>
      </c>
      <c r="M4" s="6">
        <f t="shared" si="0"/>
        <v>2022</v>
      </c>
      <c r="N4" s="6">
        <f t="shared" si="0"/>
        <v>2023</v>
      </c>
      <c r="O4" s="6">
        <f t="shared" si="0"/>
        <v>2024</v>
      </c>
      <c r="P4" s="6">
        <f t="shared" si="0"/>
        <v>2025</v>
      </c>
      <c r="Q4" s="6"/>
      <c r="R4" s="6">
        <v>2018</v>
      </c>
      <c r="S4" s="6">
        <f>R4+1</f>
        <v>2019</v>
      </c>
      <c r="T4" s="6">
        <f t="shared" ref="T4:Y4" si="1">S4+1</f>
        <v>2020</v>
      </c>
      <c r="U4" s="6">
        <f t="shared" si="1"/>
        <v>2021</v>
      </c>
      <c r="V4" s="6">
        <f t="shared" si="1"/>
        <v>2022</v>
      </c>
      <c r="W4" s="6">
        <f t="shared" si="1"/>
        <v>2023</v>
      </c>
      <c r="X4" s="6">
        <f t="shared" si="1"/>
        <v>2024</v>
      </c>
      <c r="Y4" s="6">
        <f t="shared" si="1"/>
        <v>2025</v>
      </c>
      <c r="Z4" s="6"/>
      <c r="AA4" s="6">
        <v>2018</v>
      </c>
      <c r="AB4" s="6">
        <f>AA4+1</f>
        <v>2019</v>
      </c>
      <c r="AC4" s="6">
        <f t="shared" ref="AC4:AH4" si="2">AB4+1</f>
        <v>2020</v>
      </c>
      <c r="AD4" s="6">
        <f t="shared" si="2"/>
        <v>2021</v>
      </c>
      <c r="AE4" s="6">
        <f t="shared" si="2"/>
        <v>2022</v>
      </c>
      <c r="AF4" s="6">
        <f t="shared" si="2"/>
        <v>2023</v>
      </c>
      <c r="AG4" s="6">
        <f t="shared" si="2"/>
        <v>2024</v>
      </c>
      <c r="AH4" s="6">
        <f t="shared" si="2"/>
        <v>2025</v>
      </c>
      <c r="AI4" s="6"/>
      <c r="AJ4" s="6">
        <v>2018</v>
      </c>
      <c r="AK4" s="6">
        <f>AJ4+1</f>
        <v>2019</v>
      </c>
      <c r="AL4" s="6">
        <f t="shared" ref="AL4:AQ4" si="3">AK4+1</f>
        <v>2020</v>
      </c>
      <c r="AM4" s="6">
        <f t="shared" si="3"/>
        <v>2021</v>
      </c>
      <c r="AN4" s="6">
        <f t="shared" si="3"/>
        <v>2022</v>
      </c>
      <c r="AO4" s="6">
        <f t="shared" si="3"/>
        <v>2023</v>
      </c>
      <c r="AP4" s="6">
        <f t="shared" si="3"/>
        <v>2024</v>
      </c>
      <c r="AQ4" s="6">
        <f t="shared" si="3"/>
        <v>2025</v>
      </c>
      <c r="AR4" s="6"/>
      <c r="AS4" s="6">
        <v>2018</v>
      </c>
      <c r="AT4" s="6">
        <f>AS4+1</f>
        <v>2019</v>
      </c>
      <c r="AU4" s="6">
        <f t="shared" ref="AU4:AZ4" si="4">AT4+1</f>
        <v>2020</v>
      </c>
      <c r="AV4" s="6">
        <f t="shared" si="4"/>
        <v>2021</v>
      </c>
      <c r="AW4" s="6">
        <f t="shared" si="4"/>
        <v>2022</v>
      </c>
      <c r="AX4" s="6">
        <f t="shared" si="4"/>
        <v>2023</v>
      </c>
      <c r="AY4" s="6">
        <f t="shared" si="4"/>
        <v>2024</v>
      </c>
      <c r="AZ4" s="6">
        <f t="shared" si="4"/>
        <v>2025</v>
      </c>
      <c r="BA4" s="6"/>
      <c r="BB4" s="6">
        <v>2021</v>
      </c>
      <c r="BC4" s="6">
        <v>2022</v>
      </c>
      <c r="BD4" s="6">
        <v>2023</v>
      </c>
      <c r="BE4" s="6">
        <v>2024</v>
      </c>
      <c r="BF4" s="6">
        <v>2025</v>
      </c>
      <c r="BG4" s="6"/>
      <c r="BH4" s="6">
        <v>2021</v>
      </c>
      <c r="BI4" s="6">
        <v>2022</v>
      </c>
      <c r="BJ4" s="6">
        <v>2023</v>
      </c>
      <c r="BK4" s="6">
        <v>2024</v>
      </c>
      <c r="BL4" s="6">
        <v>2025</v>
      </c>
      <c r="BM4" s="6"/>
      <c r="BN4" s="6">
        <v>2022</v>
      </c>
      <c r="BO4" s="6">
        <f>BN4+1</f>
        <v>2023</v>
      </c>
      <c r="BP4" s="6">
        <f>BO4+1</f>
        <v>2024</v>
      </c>
      <c r="BQ4" s="6">
        <f>BP4+1</f>
        <v>2025</v>
      </c>
      <c r="BS4" s="6">
        <v>2022</v>
      </c>
      <c r="BU4" s="6">
        <v>2018</v>
      </c>
      <c r="BV4" s="6">
        <f>BU4+1</f>
        <v>2019</v>
      </c>
      <c r="BW4" s="6">
        <f t="shared" ref="BW4:CB4" si="5">BV4+1</f>
        <v>2020</v>
      </c>
      <c r="BX4" s="6">
        <f t="shared" si="5"/>
        <v>2021</v>
      </c>
      <c r="BY4" s="6">
        <f t="shared" si="5"/>
        <v>2022</v>
      </c>
      <c r="BZ4" s="6">
        <f t="shared" si="5"/>
        <v>2023</v>
      </c>
      <c r="CA4" s="6">
        <f t="shared" si="5"/>
        <v>2024</v>
      </c>
      <c r="CB4" s="6">
        <f t="shared" si="5"/>
        <v>2025</v>
      </c>
      <c r="CD4" s="471" t="s">
        <v>621</v>
      </c>
      <c r="CF4" s="6">
        <v>2018</v>
      </c>
      <c r="CG4" s="6">
        <f>CF4+1</f>
        <v>2019</v>
      </c>
      <c r="CH4" s="6">
        <f t="shared" ref="CH4:CM4" si="6">CG4+1</f>
        <v>2020</v>
      </c>
      <c r="CI4" s="6">
        <f t="shared" si="6"/>
        <v>2021</v>
      </c>
      <c r="CJ4" s="6">
        <f t="shared" si="6"/>
        <v>2022</v>
      </c>
      <c r="CK4" s="6">
        <f t="shared" si="6"/>
        <v>2023</v>
      </c>
      <c r="CL4" s="6">
        <f t="shared" si="6"/>
        <v>2024</v>
      </c>
      <c r="CM4" s="6">
        <f t="shared" si="6"/>
        <v>2025</v>
      </c>
      <c r="CO4" s="471" t="s">
        <v>621</v>
      </c>
      <c r="CW4" s="6" t="s">
        <v>589</v>
      </c>
    </row>
    <row r="6" spans="1:101" s="245" customFormat="1" ht="15" x14ac:dyDescent="0.25">
      <c r="C6" s="245" t="s">
        <v>476</v>
      </c>
      <c r="D6" s="477">
        <f>'TSM (SHLS)'!C6</f>
        <v>22.21</v>
      </c>
      <c r="E6" s="478">
        <f>'TSM (SHLS)'!L15</f>
        <v>169.255357</v>
      </c>
      <c r="F6" s="478">
        <f>D6*E6</f>
        <v>3759.1614789700002</v>
      </c>
      <c r="G6" s="478">
        <f>'TSM (SHLS)'!L20</f>
        <v>4019.0084789700004</v>
      </c>
      <c r="H6" s="478"/>
      <c r="I6" s="478">
        <f>IS!D9</f>
        <v>103.75</v>
      </c>
      <c r="J6" s="478">
        <f>IS!E9</f>
        <v>144.49600000000001</v>
      </c>
      <c r="K6" s="478">
        <v>176</v>
      </c>
      <c r="L6" s="478">
        <v>213</v>
      </c>
      <c r="M6" s="478">
        <v>313</v>
      </c>
      <c r="N6" s="478">
        <v>502</v>
      </c>
      <c r="O6" s="478">
        <v>692</v>
      </c>
      <c r="P6" s="478">
        <v>873</v>
      </c>
      <c r="Q6" s="478"/>
      <c r="R6" s="478">
        <f>IS!D15</f>
        <v>28.168000000000006</v>
      </c>
      <c r="S6" s="478">
        <f>IS!E15</f>
        <v>44.212000000000003</v>
      </c>
      <c r="T6" s="478">
        <v>58</v>
      </c>
      <c r="U6" s="478">
        <v>74</v>
      </c>
      <c r="V6" s="478">
        <v>121</v>
      </c>
      <c r="W6" s="478">
        <v>195</v>
      </c>
      <c r="X6" s="478">
        <v>261</v>
      </c>
      <c r="Y6" s="478">
        <v>350</v>
      </c>
      <c r="Z6" s="478"/>
      <c r="AA6" s="478">
        <f>IS!D54</f>
        <v>21.168000000000006</v>
      </c>
      <c r="AB6" s="478">
        <f>IS!E54</f>
        <v>36.817</v>
      </c>
      <c r="AC6" s="478">
        <v>47</v>
      </c>
      <c r="AD6" s="478">
        <v>49</v>
      </c>
      <c r="AE6" s="478">
        <v>83</v>
      </c>
      <c r="AF6" s="478">
        <v>155</v>
      </c>
      <c r="AG6" s="478">
        <v>233</v>
      </c>
      <c r="AH6" s="478">
        <v>296</v>
      </c>
      <c r="AI6" s="478"/>
      <c r="AJ6" s="478">
        <f>IS!D54</f>
        <v>21.168000000000006</v>
      </c>
      <c r="AK6" s="478">
        <f>CF!D49</f>
        <v>1.7190000000000001</v>
      </c>
      <c r="AL6" s="478">
        <v>3</v>
      </c>
      <c r="AM6" s="478">
        <v>8</v>
      </c>
      <c r="AN6" s="478">
        <v>6</v>
      </c>
      <c r="AO6" s="478">
        <v>8</v>
      </c>
      <c r="AP6" s="478">
        <v>9</v>
      </c>
      <c r="AQ6" s="478" t="e">
        <v>#N/A</v>
      </c>
      <c r="AR6" s="478"/>
      <c r="AS6" s="478">
        <f>AA6-AJ6</f>
        <v>0</v>
      </c>
      <c r="AT6" s="478">
        <f t="shared" ref="AT6:AZ6" si="7">AB6-AK6</f>
        <v>35.097999999999999</v>
      </c>
      <c r="AU6" s="478">
        <f t="shared" si="7"/>
        <v>44</v>
      </c>
      <c r="AV6" s="478">
        <f t="shared" si="7"/>
        <v>41</v>
      </c>
      <c r="AW6" s="478">
        <f t="shared" si="7"/>
        <v>77</v>
      </c>
      <c r="AX6" s="478">
        <f t="shared" si="7"/>
        <v>147</v>
      </c>
      <c r="AY6" s="478">
        <f t="shared" si="7"/>
        <v>224</v>
      </c>
      <c r="AZ6" s="478" t="e">
        <f t="shared" si="7"/>
        <v>#N/A</v>
      </c>
      <c r="BB6" s="479">
        <f>$G6/L6</f>
        <v>18.868584408309861</v>
      </c>
      <c r="BC6" s="479">
        <f>$G6/M6</f>
        <v>12.840282680415337</v>
      </c>
      <c r="BD6" s="479">
        <f>$G6/N6</f>
        <v>8.0059929859960164</v>
      </c>
      <c r="BE6" s="479">
        <f>$G6/O6</f>
        <v>5.8078157210549142</v>
      </c>
      <c r="BF6" s="479">
        <f>$G6/P6</f>
        <v>4.6036752336426119</v>
      </c>
      <c r="BH6" s="479">
        <f>$G6/AD6</f>
        <v>82.020581203469391</v>
      </c>
      <c r="BI6" s="479">
        <f>$G6/AE6</f>
        <v>48.421788903253017</v>
      </c>
      <c r="BJ6" s="479">
        <f>$G6/AF6</f>
        <v>25.929086961096775</v>
      </c>
      <c r="BK6" s="479">
        <f>$G6/AG6</f>
        <v>17.248963429055795</v>
      </c>
      <c r="BL6" s="479">
        <f>$G6/AH6</f>
        <v>13.577731347871623</v>
      </c>
      <c r="BN6" s="478">
        <v>32</v>
      </c>
      <c r="BO6" s="478">
        <v>93</v>
      </c>
      <c r="BP6" s="478">
        <v>150</v>
      </c>
      <c r="BQ6" s="478">
        <v>196</v>
      </c>
      <c r="BS6" s="459">
        <f>RATE(3,,-L6,O6)</f>
        <v>0.48106969950003514</v>
      </c>
      <c r="BU6" s="459">
        <f>R6/I6</f>
        <v>0.27149879518072295</v>
      </c>
      <c r="BV6" s="459">
        <f t="shared" ref="BV6:CB6" si="8">S6/J6</f>
        <v>0.3059738677887277</v>
      </c>
      <c r="BW6" s="459">
        <f t="shared" si="8"/>
        <v>0.32954545454545453</v>
      </c>
      <c r="BX6" s="459">
        <f t="shared" si="8"/>
        <v>0.34741784037558687</v>
      </c>
      <c r="BY6" s="459">
        <f t="shared" si="8"/>
        <v>0.38658146964856233</v>
      </c>
      <c r="BZ6" s="459">
        <f t="shared" si="8"/>
        <v>0.38844621513944222</v>
      </c>
      <c r="CA6" s="459">
        <f t="shared" si="8"/>
        <v>0.37716763005780346</v>
      </c>
      <c r="CB6" s="459">
        <f t="shared" si="8"/>
        <v>0.40091638029782362</v>
      </c>
      <c r="CC6" s="125"/>
      <c r="CD6" s="459">
        <f>AVERAGE(BX6:CA6)</f>
        <v>0.37490328880534873</v>
      </c>
      <c r="CF6" s="459">
        <f t="shared" ref="CF6:CM6" si="9">AA6/I6</f>
        <v>0.20402891566265066</v>
      </c>
      <c r="CG6" s="459">
        <f t="shared" si="9"/>
        <v>0.25479598051157126</v>
      </c>
      <c r="CH6" s="459">
        <f t="shared" si="9"/>
        <v>0.26704545454545453</v>
      </c>
      <c r="CI6" s="459">
        <f t="shared" si="9"/>
        <v>0.2300469483568075</v>
      </c>
      <c r="CJ6" s="459">
        <f t="shared" si="9"/>
        <v>0.26517571884984026</v>
      </c>
      <c r="CK6" s="459">
        <f t="shared" si="9"/>
        <v>0.30876494023904383</v>
      </c>
      <c r="CL6" s="459">
        <f t="shared" si="9"/>
        <v>0.33670520231213874</v>
      </c>
      <c r="CM6" s="459">
        <f t="shared" si="9"/>
        <v>0.33906071019473083</v>
      </c>
      <c r="CO6" s="459">
        <f>AVERAGE(CI6:CL6)</f>
        <v>0.28517320243945754</v>
      </c>
      <c r="CW6" s="459" t="e" cm="1">
        <f t="array" ref="CW6">av</f>
        <v>#NAME?</v>
      </c>
    </row>
    <row r="7" spans="1:101" x14ac:dyDescent="0.2"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B7" s="225"/>
      <c r="BC7" s="225"/>
      <c r="BD7" s="225"/>
      <c r="BE7" s="225"/>
      <c r="BF7" s="225"/>
      <c r="BH7" s="225"/>
      <c r="BI7" s="225"/>
      <c r="BJ7" s="225"/>
      <c r="BK7" s="225"/>
      <c r="BL7" s="225"/>
      <c r="BN7" s="64"/>
      <c r="BO7" s="64"/>
      <c r="BP7" s="64"/>
      <c r="BQ7" s="64"/>
      <c r="BS7" s="64"/>
      <c r="BU7" s="64"/>
      <c r="BV7" s="64"/>
      <c r="BW7" s="64"/>
      <c r="BX7" s="64"/>
      <c r="BY7" s="64"/>
      <c r="BZ7" s="64"/>
      <c r="CA7" s="64"/>
      <c r="CB7" s="64"/>
      <c r="CD7" s="64"/>
      <c r="CF7" s="64"/>
      <c r="CG7" s="64"/>
      <c r="CH7" s="64"/>
      <c r="CI7" s="64"/>
      <c r="CJ7" s="64"/>
      <c r="CK7" s="64"/>
      <c r="CL7" s="64"/>
      <c r="CM7" s="64"/>
      <c r="CO7" s="64"/>
      <c r="CW7" s="64"/>
    </row>
    <row r="8" spans="1:101" ht="15" x14ac:dyDescent="0.25">
      <c r="C8" s="205" t="s">
        <v>458</v>
      </c>
      <c r="D8" s="205"/>
      <c r="E8" s="457"/>
      <c r="F8" s="457"/>
      <c r="G8" s="457"/>
      <c r="H8" s="457"/>
      <c r="I8" s="457"/>
      <c r="J8" s="457"/>
      <c r="K8" s="457"/>
      <c r="L8" s="457"/>
      <c r="M8" s="457"/>
      <c r="N8" s="457"/>
      <c r="O8" s="457"/>
      <c r="P8" s="457"/>
      <c r="Q8" s="457"/>
      <c r="R8" s="457"/>
      <c r="S8" s="457"/>
      <c r="T8" s="457"/>
      <c r="U8" s="457"/>
      <c r="V8" s="457"/>
      <c r="W8" s="457"/>
      <c r="X8" s="457"/>
      <c r="Y8" s="457"/>
      <c r="Z8" s="457"/>
      <c r="AA8" s="457"/>
      <c r="AB8" s="457"/>
      <c r="AC8" s="457"/>
      <c r="AD8" s="457"/>
      <c r="AE8" s="457"/>
      <c r="AF8" s="457"/>
      <c r="AG8" s="457"/>
      <c r="AH8" s="457"/>
      <c r="AI8" s="457"/>
      <c r="AJ8" s="457"/>
      <c r="AK8" s="457"/>
      <c r="AL8" s="457"/>
      <c r="AM8" s="457"/>
      <c r="AN8" s="457"/>
      <c r="AO8" s="457"/>
      <c r="AP8" s="457"/>
      <c r="AQ8" s="457"/>
      <c r="AR8" s="457"/>
      <c r="AS8" s="457"/>
      <c r="AT8" s="457"/>
      <c r="AU8" s="457"/>
      <c r="AV8" s="457"/>
      <c r="AW8" s="457"/>
      <c r="AX8" s="457"/>
      <c r="AY8" s="457"/>
      <c r="AZ8" s="457"/>
      <c r="BA8" s="205"/>
      <c r="BB8" s="458"/>
      <c r="BC8" s="458"/>
      <c r="BD8" s="458"/>
      <c r="BE8" s="458"/>
      <c r="BF8" s="458"/>
      <c r="BG8" s="205"/>
      <c r="BH8" s="458"/>
      <c r="BI8" s="458"/>
      <c r="BJ8" s="458"/>
      <c r="BK8" s="458"/>
      <c r="BL8" s="458"/>
      <c r="BM8" s="205"/>
      <c r="BN8" s="457"/>
      <c r="BO8" s="457"/>
      <c r="BP8" s="457"/>
      <c r="BQ8" s="457"/>
      <c r="BS8" s="457"/>
      <c r="BU8" s="457"/>
      <c r="BV8" s="457"/>
      <c r="BW8" s="457"/>
      <c r="BX8" s="457"/>
      <c r="BY8" s="457"/>
      <c r="BZ8" s="457"/>
      <c r="CA8" s="457"/>
      <c r="CB8" s="457"/>
      <c r="CD8" s="457"/>
      <c r="CF8" s="457"/>
      <c r="CG8" s="457"/>
      <c r="CH8" s="457"/>
      <c r="CI8" s="457"/>
      <c r="CJ8" s="457"/>
      <c r="CK8" s="457"/>
      <c r="CL8" s="457"/>
      <c r="CM8" s="457"/>
      <c r="CO8" s="457"/>
      <c r="CW8" s="457"/>
    </row>
    <row r="9" spans="1:101" ht="15" x14ac:dyDescent="0.25">
      <c r="C9" s="1" t="s">
        <v>590</v>
      </c>
      <c r="D9" s="19">
        <f>'TSM (Arctech)'!C6</f>
        <v>14.97</v>
      </c>
      <c r="E9" s="64">
        <f>'TSM (Arctech)'!L15</f>
        <v>135.69999999999999</v>
      </c>
      <c r="F9" s="64">
        <f>D9*E9</f>
        <v>2031.4289999999999</v>
      </c>
      <c r="G9" s="64">
        <f>'TSM (Arctech)'!L22</f>
        <v>2035.2590000000002</v>
      </c>
      <c r="H9" s="64"/>
      <c r="I9" s="64">
        <v>285</v>
      </c>
      <c r="J9" s="64">
        <v>313</v>
      </c>
      <c r="K9" s="64">
        <v>430</v>
      </c>
      <c r="L9" s="64">
        <v>332</v>
      </c>
      <c r="M9" s="64">
        <v>547</v>
      </c>
      <c r="N9" s="64">
        <v>974</v>
      </c>
      <c r="O9" s="64">
        <v>1184</v>
      </c>
      <c r="P9" s="64" t="e">
        <v>#N/A</v>
      </c>
      <c r="Q9" s="64"/>
      <c r="R9" s="64">
        <v>57</v>
      </c>
      <c r="S9" s="64">
        <v>74</v>
      </c>
      <c r="T9" s="64">
        <v>87</v>
      </c>
      <c r="U9" s="64">
        <v>36</v>
      </c>
      <c r="V9" s="64">
        <v>93</v>
      </c>
      <c r="W9" s="64">
        <v>177</v>
      </c>
      <c r="X9" s="64">
        <v>230</v>
      </c>
      <c r="Y9" s="64" t="e">
        <v>#N/A</v>
      </c>
      <c r="Z9" s="64"/>
      <c r="AA9" s="64">
        <v>18</v>
      </c>
      <c r="AB9" s="64">
        <v>28</v>
      </c>
      <c r="AC9" s="64">
        <v>49</v>
      </c>
      <c r="AD9" s="64">
        <v>-2</v>
      </c>
      <c r="AE9" s="64">
        <v>25</v>
      </c>
      <c r="AF9" s="64">
        <v>71</v>
      </c>
      <c r="AG9" s="64">
        <v>95</v>
      </c>
      <c r="AH9" s="64" t="e">
        <v>#N/A</v>
      </c>
      <c r="AI9" s="64"/>
      <c r="AJ9" s="64">
        <v>6</v>
      </c>
      <c r="AK9" s="64">
        <v>7</v>
      </c>
      <c r="AL9" s="64">
        <v>6</v>
      </c>
      <c r="AM9" s="64">
        <v>47</v>
      </c>
      <c r="AN9" s="64">
        <v>32</v>
      </c>
      <c r="AO9" s="64">
        <v>36</v>
      </c>
      <c r="AP9" s="64">
        <v>36</v>
      </c>
      <c r="AQ9" s="64" t="e">
        <v>#N/A</v>
      </c>
      <c r="AR9" s="64"/>
      <c r="AS9" s="64">
        <f t="shared" ref="AS9:AZ11" si="10">AA9-AJ9</f>
        <v>12</v>
      </c>
      <c r="AT9" s="64">
        <f t="shared" si="10"/>
        <v>21</v>
      </c>
      <c r="AU9" s="64">
        <f t="shared" si="10"/>
        <v>43</v>
      </c>
      <c r="AV9" s="64">
        <f t="shared" si="10"/>
        <v>-49</v>
      </c>
      <c r="AW9" s="64">
        <f t="shared" si="10"/>
        <v>-7</v>
      </c>
      <c r="AX9" s="64">
        <f t="shared" si="10"/>
        <v>35</v>
      </c>
      <c r="AY9" s="64">
        <f t="shared" si="10"/>
        <v>59</v>
      </c>
      <c r="AZ9" s="64" t="e">
        <f t="shared" si="10"/>
        <v>#N/A</v>
      </c>
      <c r="BB9" s="225">
        <f t="shared" ref="BB9:BF11" si="11">$G9/L9</f>
        <v>6.1302981927710851</v>
      </c>
      <c r="BC9" s="225">
        <f t="shared" si="11"/>
        <v>3.7207659963436934</v>
      </c>
      <c r="BD9" s="225">
        <f t="shared" si="11"/>
        <v>2.0895882956878853</v>
      </c>
      <c r="BE9" s="225">
        <f t="shared" si="11"/>
        <v>1.7189687500000002</v>
      </c>
      <c r="BF9" s="225" t="e">
        <f t="shared" si="11"/>
        <v>#N/A</v>
      </c>
      <c r="BH9" s="225">
        <f t="shared" ref="BH9:BL11" si="12">$G9/AD9</f>
        <v>-1017.6295000000001</v>
      </c>
      <c r="BI9" s="225">
        <f t="shared" si="12"/>
        <v>81.410360000000011</v>
      </c>
      <c r="BJ9" s="225">
        <f t="shared" si="12"/>
        <v>28.665619718309863</v>
      </c>
      <c r="BK9" s="225">
        <f t="shared" si="12"/>
        <v>21.423778947368422</v>
      </c>
      <c r="BL9" s="225" t="e">
        <f t="shared" si="12"/>
        <v>#N/A</v>
      </c>
      <c r="BN9" s="64">
        <v>21</v>
      </c>
      <c r="BO9" s="64">
        <v>55</v>
      </c>
      <c r="BP9" s="64">
        <v>79</v>
      </c>
      <c r="BQ9" s="64" t="e">
        <v>#N/A</v>
      </c>
      <c r="BS9" s="459">
        <f>RATE(3,,-L9,O9)</f>
        <v>0.52781653605561196</v>
      </c>
      <c r="BU9" s="87">
        <f t="shared" ref="BU9:CB11" si="13">R9/I9</f>
        <v>0.2</v>
      </c>
      <c r="BV9" s="87">
        <f t="shared" si="13"/>
        <v>0.2364217252396166</v>
      </c>
      <c r="BW9" s="87">
        <f t="shared" si="13"/>
        <v>0.20232558139534884</v>
      </c>
      <c r="BX9" s="87">
        <f t="shared" si="13"/>
        <v>0.10843373493975904</v>
      </c>
      <c r="BY9" s="87">
        <f t="shared" si="13"/>
        <v>0.17001828153564899</v>
      </c>
      <c r="BZ9" s="87">
        <f t="shared" si="13"/>
        <v>0.18172484599589322</v>
      </c>
      <c r="CA9" s="87">
        <f t="shared" si="13"/>
        <v>0.19425675675675674</v>
      </c>
      <c r="CB9" s="87" t="e">
        <f t="shared" si="13"/>
        <v>#N/A</v>
      </c>
      <c r="CD9" s="472">
        <f>AVERAGE(BX9:CA9)</f>
        <v>0.1636084048070145</v>
      </c>
      <c r="CF9" s="87">
        <f t="shared" ref="CF9:CM11" si="14">AA9/I9</f>
        <v>6.3157894736842107E-2</v>
      </c>
      <c r="CG9" s="87">
        <f t="shared" si="14"/>
        <v>8.9456869009584661E-2</v>
      </c>
      <c r="CH9" s="87">
        <f t="shared" si="14"/>
        <v>0.11395348837209303</v>
      </c>
      <c r="CI9" s="87">
        <f t="shared" si="14"/>
        <v>-6.024096385542169E-3</v>
      </c>
      <c r="CJ9" s="87">
        <f t="shared" si="14"/>
        <v>4.5703839122486288E-2</v>
      </c>
      <c r="CK9" s="87">
        <f t="shared" si="14"/>
        <v>7.2895277207392195E-2</v>
      </c>
      <c r="CL9" s="87">
        <f t="shared" si="14"/>
        <v>8.0236486486486486E-2</v>
      </c>
      <c r="CM9" s="87" t="e">
        <f t="shared" si="14"/>
        <v>#N/A</v>
      </c>
      <c r="CO9" s="472">
        <f>AVERAGE(CI9:CL9)</f>
        <v>4.8202876607705697E-2</v>
      </c>
      <c r="CW9" s="459">
        <f>RATE(3,,-N9,Q9)</f>
        <v>-0.99999974478297993</v>
      </c>
    </row>
    <row r="10" spans="1:101" ht="15" x14ac:dyDescent="0.25">
      <c r="C10" s="1" t="s">
        <v>591</v>
      </c>
      <c r="D10" s="19">
        <f>'TSM (ARRY)'!C6</f>
        <v>16.03</v>
      </c>
      <c r="E10" s="64">
        <f>'TSM (ARRY)'!L15</f>
        <v>152.07916299999999</v>
      </c>
      <c r="F10" s="64">
        <f>D10*E10</f>
        <v>2437.8289828900001</v>
      </c>
      <c r="G10" s="64">
        <f>'TSM (ARRY)'!L22</f>
        <v>3644.4439828900004</v>
      </c>
      <c r="H10" s="64"/>
      <c r="I10" s="64">
        <v>291</v>
      </c>
      <c r="J10" s="64">
        <v>648</v>
      </c>
      <c r="K10" s="64">
        <v>873</v>
      </c>
      <c r="L10" s="64">
        <v>853</v>
      </c>
      <c r="M10" s="64">
        <v>1472</v>
      </c>
      <c r="N10" s="64">
        <v>1838</v>
      </c>
      <c r="O10" s="64">
        <v>2139</v>
      </c>
      <c r="P10" s="64" t="e">
        <v>#N/A</v>
      </c>
      <c r="Q10" s="64"/>
      <c r="R10" s="64">
        <v>-15</v>
      </c>
      <c r="S10" s="64">
        <v>125</v>
      </c>
      <c r="T10" s="64">
        <v>177</v>
      </c>
      <c r="U10" s="64">
        <v>59</v>
      </c>
      <c r="V10" s="64">
        <v>209</v>
      </c>
      <c r="W10" s="64">
        <v>361</v>
      </c>
      <c r="X10" s="64">
        <v>460</v>
      </c>
      <c r="Y10" s="64" t="e">
        <v>#N/A</v>
      </c>
      <c r="Z10" s="64"/>
      <c r="AA10" s="64">
        <v>-33</v>
      </c>
      <c r="AB10" s="64">
        <v>114</v>
      </c>
      <c r="AC10" s="64">
        <v>151</v>
      </c>
      <c r="AD10" s="64">
        <v>4</v>
      </c>
      <c r="AE10" s="64">
        <v>120</v>
      </c>
      <c r="AF10" s="64">
        <v>273</v>
      </c>
      <c r="AG10" s="64">
        <v>349</v>
      </c>
      <c r="AH10" s="64" t="e">
        <v>#N/A</v>
      </c>
      <c r="AI10" s="64"/>
      <c r="AJ10" s="64">
        <v>6</v>
      </c>
      <c r="AK10" s="64">
        <v>2</v>
      </c>
      <c r="AL10" s="64">
        <v>1</v>
      </c>
      <c r="AM10" s="64">
        <v>3</v>
      </c>
      <c r="AN10" s="64">
        <v>7</v>
      </c>
      <c r="AO10" s="64">
        <v>5</v>
      </c>
      <c r="AP10" s="64">
        <v>7</v>
      </c>
      <c r="AQ10" s="64" t="e">
        <v>#N/A</v>
      </c>
      <c r="AR10" s="64"/>
      <c r="AS10" s="64">
        <f t="shared" si="10"/>
        <v>-39</v>
      </c>
      <c r="AT10" s="64">
        <f t="shared" si="10"/>
        <v>112</v>
      </c>
      <c r="AU10" s="64">
        <f t="shared" si="10"/>
        <v>150</v>
      </c>
      <c r="AV10" s="64">
        <f t="shared" si="10"/>
        <v>1</v>
      </c>
      <c r="AW10" s="64">
        <f t="shared" si="10"/>
        <v>113</v>
      </c>
      <c r="AX10" s="64">
        <f t="shared" si="10"/>
        <v>268</v>
      </c>
      <c r="AY10" s="64">
        <f t="shared" si="10"/>
        <v>342</v>
      </c>
      <c r="AZ10" s="64" t="e">
        <f t="shared" si="10"/>
        <v>#N/A</v>
      </c>
      <c r="BB10" s="225">
        <f t="shared" si="11"/>
        <v>4.2725017384407975</v>
      </c>
      <c r="BC10" s="225">
        <f t="shared" si="11"/>
        <v>2.4758450970720109</v>
      </c>
      <c r="BD10" s="225">
        <f t="shared" si="11"/>
        <v>1.9828313291022852</v>
      </c>
      <c r="BE10" s="225">
        <f t="shared" si="11"/>
        <v>1.7038073786302013</v>
      </c>
      <c r="BF10" s="225" t="e">
        <f t="shared" si="11"/>
        <v>#N/A</v>
      </c>
      <c r="BH10" s="225">
        <f t="shared" si="12"/>
        <v>911.11099572250009</v>
      </c>
      <c r="BI10" s="225">
        <f t="shared" si="12"/>
        <v>30.370366524083337</v>
      </c>
      <c r="BJ10" s="225">
        <f t="shared" si="12"/>
        <v>13.34961165893773</v>
      </c>
      <c r="BK10" s="225">
        <f t="shared" si="12"/>
        <v>10.442532902263611</v>
      </c>
      <c r="BL10" s="225" t="e">
        <f t="shared" si="12"/>
        <v>#N/A</v>
      </c>
      <c r="BN10" s="64">
        <v>-54</v>
      </c>
      <c r="BO10" s="64">
        <v>55</v>
      </c>
      <c r="BP10" s="64">
        <v>109</v>
      </c>
      <c r="BQ10" s="64" t="e">
        <v>#N/A</v>
      </c>
      <c r="BS10" s="459">
        <f>RATE(3,,-L10,O10)</f>
        <v>0.35858636346760531</v>
      </c>
      <c r="BU10" s="87">
        <f t="shared" si="13"/>
        <v>-5.1546391752577317E-2</v>
      </c>
      <c r="BV10" s="87">
        <f t="shared" si="13"/>
        <v>0.19290123456790123</v>
      </c>
      <c r="BW10" s="87">
        <f t="shared" si="13"/>
        <v>0.20274914089347079</v>
      </c>
      <c r="BX10" s="87">
        <f t="shared" si="13"/>
        <v>6.9167643610785465E-2</v>
      </c>
      <c r="BY10" s="87">
        <f t="shared" si="13"/>
        <v>0.14198369565217392</v>
      </c>
      <c r="BZ10" s="87">
        <f t="shared" si="13"/>
        <v>0.19640914036996734</v>
      </c>
      <c r="CA10" s="87">
        <f t="shared" si="13"/>
        <v>0.21505376344086022</v>
      </c>
      <c r="CB10" s="87" t="e">
        <f t="shared" si="13"/>
        <v>#N/A</v>
      </c>
      <c r="CD10" s="472">
        <f>AVERAGE(BX10:CA10)</f>
        <v>0.15565356076844675</v>
      </c>
      <c r="CF10" s="87">
        <f t="shared" si="14"/>
        <v>-0.1134020618556701</v>
      </c>
      <c r="CG10" s="87">
        <f t="shared" si="14"/>
        <v>0.17592592592592593</v>
      </c>
      <c r="CH10" s="87">
        <f t="shared" si="14"/>
        <v>0.17296678121420389</v>
      </c>
      <c r="CI10" s="87">
        <f t="shared" si="14"/>
        <v>4.6893317702227429E-3</v>
      </c>
      <c r="CJ10" s="87">
        <f t="shared" si="14"/>
        <v>8.1521739130434784E-2</v>
      </c>
      <c r="CK10" s="87">
        <f t="shared" si="14"/>
        <v>0.14853101196953211</v>
      </c>
      <c r="CL10" s="87">
        <f t="shared" si="14"/>
        <v>0.16316035530621786</v>
      </c>
      <c r="CM10" s="87" t="e">
        <f t="shared" si="14"/>
        <v>#N/A</v>
      </c>
      <c r="CO10" s="472">
        <f>AVERAGE(CI10:CL10)</f>
        <v>9.9475609544101867E-2</v>
      </c>
      <c r="CW10" s="459">
        <f>RATE(3,,-N10,Q10)</f>
        <v>-0.99999974478297993</v>
      </c>
    </row>
    <row r="11" spans="1:101" ht="15" x14ac:dyDescent="0.25">
      <c r="C11" s="1" t="s">
        <v>592</v>
      </c>
      <c r="D11" s="19">
        <f>'TSM (Soltec)'!C6</f>
        <v>4.18</v>
      </c>
      <c r="E11" s="64">
        <f>'TSM (Soltec)'!L15</f>
        <v>90.95</v>
      </c>
      <c r="F11" s="64">
        <f>D11*E11</f>
        <v>380.17099999999999</v>
      </c>
      <c r="G11" s="64">
        <f>'TSM (Soltec)'!L22</f>
        <v>480.43099999999993</v>
      </c>
      <c r="H11" s="64"/>
      <c r="I11" s="64" t="e">
        <v>#N/A</v>
      </c>
      <c r="J11" s="64">
        <v>355</v>
      </c>
      <c r="K11" s="64">
        <v>234</v>
      </c>
      <c r="L11" s="64">
        <v>345</v>
      </c>
      <c r="M11" s="64">
        <v>520</v>
      </c>
      <c r="N11" s="64">
        <v>610</v>
      </c>
      <c r="O11" s="64">
        <v>674</v>
      </c>
      <c r="P11" s="64">
        <v>775</v>
      </c>
      <c r="Q11" s="64"/>
      <c r="R11" s="64" t="e">
        <v>#N/A</v>
      </c>
      <c r="S11" s="64">
        <v>61</v>
      </c>
      <c r="T11" s="64">
        <v>18</v>
      </c>
      <c r="U11" s="64">
        <v>73</v>
      </c>
      <c r="V11" s="64">
        <v>188</v>
      </c>
      <c r="W11" s="64">
        <v>248</v>
      </c>
      <c r="X11" s="64">
        <v>290</v>
      </c>
      <c r="Y11" s="64" t="e">
        <v>#N/A</v>
      </c>
      <c r="Z11" s="64"/>
      <c r="AA11" s="64" t="e">
        <v>#N/A</v>
      </c>
      <c r="AB11" s="64">
        <v>18</v>
      </c>
      <c r="AC11" s="64">
        <v>-22</v>
      </c>
      <c r="AD11" s="64">
        <v>-24</v>
      </c>
      <c r="AE11" s="64">
        <v>18</v>
      </c>
      <c r="AF11" s="64">
        <v>56</v>
      </c>
      <c r="AG11" s="64">
        <v>85</v>
      </c>
      <c r="AH11" s="64">
        <v>109</v>
      </c>
      <c r="AI11" s="64"/>
      <c r="AJ11" s="64" t="e">
        <v>#N/A</v>
      </c>
      <c r="AK11" s="64">
        <v>5</v>
      </c>
      <c r="AL11" s="64">
        <v>6</v>
      </c>
      <c r="AM11" s="64">
        <v>103</v>
      </c>
      <c r="AN11" s="64">
        <v>127</v>
      </c>
      <c r="AO11" s="64">
        <v>140</v>
      </c>
      <c r="AP11" s="64">
        <v>163</v>
      </c>
      <c r="AQ11" s="64">
        <v>177</v>
      </c>
      <c r="AR11" s="64"/>
      <c r="AS11" s="64" t="e">
        <f t="shared" si="10"/>
        <v>#N/A</v>
      </c>
      <c r="AT11" s="64">
        <f t="shared" si="10"/>
        <v>13</v>
      </c>
      <c r="AU11" s="64">
        <f t="shared" si="10"/>
        <v>-28</v>
      </c>
      <c r="AV11" s="64">
        <f t="shared" si="10"/>
        <v>-127</v>
      </c>
      <c r="AW11" s="64">
        <f t="shared" si="10"/>
        <v>-109</v>
      </c>
      <c r="AX11" s="64">
        <f t="shared" si="10"/>
        <v>-84</v>
      </c>
      <c r="AY11" s="64">
        <f t="shared" si="10"/>
        <v>-78</v>
      </c>
      <c r="AZ11" s="64">
        <f t="shared" si="10"/>
        <v>-68</v>
      </c>
      <c r="BB11" s="225">
        <f t="shared" si="11"/>
        <v>1.3925536231884055</v>
      </c>
      <c r="BC11" s="225">
        <f t="shared" si="11"/>
        <v>0.92390576923076906</v>
      </c>
      <c r="BD11" s="225">
        <f t="shared" si="11"/>
        <v>0.78759180327868838</v>
      </c>
      <c r="BE11" s="225">
        <f t="shared" si="11"/>
        <v>0.71280563798219576</v>
      </c>
      <c r="BF11" s="225">
        <f t="shared" si="11"/>
        <v>0.61991096774193544</v>
      </c>
      <c r="BH11" s="225">
        <f t="shared" si="12"/>
        <v>-20.017958333333329</v>
      </c>
      <c r="BI11" s="225">
        <f t="shared" si="12"/>
        <v>26.690611111111107</v>
      </c>
      <c r="BJ11" s="225">
        <f t="shared" si="12"/>
        <v>8.5791249999999994</v>
      </c>
      <c r="BK11" s="225">
        <f t="shared" si="12"/>
        <v>5.6521294117647054</v>
      </c>
      <c r="BL11" s="225">
        <f t="shared" si="12"/>
        <v>4.4076238532110086</v>
      </c>
      <c r="BN11" s="64">
        <v>2</v>
      </c>
      <c r="BO11" s="64">
        <v>23</v>
      </c>
      <c r="BP11" s="64">
        <v>33</v>
      </c>
      <c r="BQ11" s="64">
        <v>47</v>
      </c>
      <c r="BS11" s="459">
        <f>RATE(3,,-L11,O11)</f>
        <v>0.25010627115813339</v>
      </c>
      <c r="BU11" s="87" t="e">
        <f t="shared" si="13"/>
        <v>#N/A</v>
      </c>
      <c r="BV11" s="87">
        <f t="shared" si="13"/>
        <v>0.17183098591549295</v>
      </c>
      <c r="BW11" s="87">
        <f t="shared" si="13"/>
        <v>7.6923076923076927E-2</v>
      </c>
      <c r="BX11" s="87">
        <f t="shared" si="13"/>
        <v>0.21159420289855072</v>
      </c>
      <c r="BY11" s="87">
        <f t="shared" si="13"/>
        <v>0.36153846153846153</v>
      </c>
      <c r="BZ11" s="87">
        <f t="shared" si="13"/>
        <v>0.40655737704918032</v>
      </c>
      <c r="CA11" s="87">
        <f t="shared" si="13"/>
        <v>0.43026706231454004</v>
      </c>
      <c r="CB11" s="87" t="e">
        <f t="shared" si="13"/>
        <v>#N/A</v>
      </c>
      <c r="CD11" s="472">
        <f>AVERAGE(BX11:CA11)</f>
        <v>0.3524892759501832</v>
      </c>
      <c r="CF11" s="87" t="e">
        <f t="shared" si="14"/>
        <v>#N/A</v>
      </c>
      <c r="CG11" s="87">
        <f t="shared" si="14"/>
        <v>5.0704225352112678E-2</v>
      </c>
      <c r="CH11" s="87">
        <f t="shared" si="14"/>
        <v>-9.4017094017094016E-2</v>
      </c>
      <c r="CI11" s="87">
        <f t="shared" si="14"/>
        <v>-6.9565217391304349E-2</v>
      </c>
      <c r="CJ11" s="87">
        <f t="shared" si="14"/>
        <v>3.4615384615384617E-2</v>
      </c>
      <c r="CK11" s="87">
        <f t="shared" si="14"/>
        <v>9.1803278688524587E-2</v>
      </c>
      <c r="CL11" s="87">
        <f t="shared" si="14"/>
        <v>0.12611275964391691</v>
      </c>
      <c r="CM11" s="87">
        <f t="shared" si="14"/>
        <v>0.14064516129032259</v>
      </c>
      <c r="CO11" s="472">
        <f>AVERAGE(CI11:CL11)</f>
        <v>4.5741551389130441E-2</v>
      </c>
      <c r="CW11" s="459">
        <f>RATE(3,,-N11,Q11)</f>
        <v>-0.99999974478297993</v>
      </c>
    </row>
    <row r="12" spans="1:101" x14ac:dyDescent="0.2"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B12" s="225"/>
      <c r="BC12" s="225"/>
      <c r="BD12" s="225"/>
      <c r="BE12" s="225"/>
      <c r="BF12" s="225"/>
      <c r="BH12" s="225"/>
      <c r="BI12" s="225"/>
      <c r="BJ12" s="225"/>
      <c r="BK12" s="225"/>
      <c r="BL12" s="225"/>
      <c r="BN12" s="64"/>
      <c r="BO12" s="64"/>
      <c r="BP12" s="64"/>
      <c r="BQ12" s="64"/>
      <c r="BS12" s="64"/>
      <c r="BU12" s="64"/>
      <c r="BV12" s="64"/>
      <c r="BW12" s="64"/>
      <c r="BX12" s="64"/>
      <c r="BY12" s="64"/>
      <c r="BZ12" s="64"/>
      <c r="CA12" s="64"/>
      <c r="CB12" s="64"/>
      <c r="CD12" s="64"/>
      <c r="CF12" s="64"/>
      <c r="CG12" s="64"/>
      <c r="CH12" s="64"/>
      <c r="CI12" s="64"/>
      <c r="CJ12" s="64"/>
      <c r="CK12" s="64"/>
      <c r="CL12" s="64"/>
      <c r="CM12" s="64"/>
      <c r="CO12" s="64"/>
      <c r="CW12" s="64"/>
    </row>
    <row r="13" spans="1:101" ht="15" x14ac:dyDescent="0.25">
      <c r="C13" s="205" t="s">
        <v>462</v>
      </c>
      <c r="D13" s="205"/>
      <c r="E13" s="457"/>
      <c r="F13" s="457"/>
      <c r="G13" s="457"/>
      <c r="H13" s="457"/>
      <c r="I13" s="457"/>
      <c r="J13" s="457"/>
      <c r="K13" s="457"/>
      <c r="L13" s="457"/>
      <c r="M13" s="457"/>
      <c r="N13" s="457"/>
      <c r="O13" s="457"/>
      <c r="P13" s="457"/>
      <c r="Q13" s="457"/>
      <c r="R13" s="457"/>
      <c r="S13" s="457"/>
      <c r="T13" s="457"/>
      <c r="U13" s="457"/>
      <c r="V13" s="457"/>
      <c r="W13" s="457"/>
      <c r="X13" s="457"/>
      <c r="Y13" s="457"/>
      <c r="Z13" s="457"/>
      <c r="AA13" s="457"/>
      <c r="AB13" s="457"/>
      <c r="AC13" s="457"/>
      <c r="AD13" s="457"/>
      <c r="AE13" s="457"/>
      <c r="AF13" s="457"/>
      <c r="AG13" s="457"/>
      <c r="AH13" s="457"/>
      <c r="AI13" s="457"/>
      <c r="AJ13" s="457"/>
      <c r="AK13" s="457"/>
      <c r="AL13" s="457"/>
      <c r="AM13" s="457"/>
      <c r="AN13" s="457"/>
      <c r="AO13" s="457"/>
      <c r="AP13" s="457"/>
      <c r="AQ13" s="457"/>
      <c r="AR13" s="457"/>
      <c r="AS13" s="457"/>
      <c r="AT13" s="457"/>
      <c r="AU13" s="457"/>
      <c r="AV13" s="457"/>
      <c r="AW13" s="457"/>
      <c r="AX13" s="457"/>
      <c r="AY13" s="457"/>
      <c r="AZ13" s="457"/>
      <c r="BA13" s="205"/>
      <c r="BB13" s="458"/>
      <c r="BC13" s="458"/>
      <c r="BD13" s="458"/>
      <c r="BE13" s="458"/>
      <c r="BF13" s="458"/>
      <c r="BG13" s="205"/>
      <c r="BH13" s="458"/>
      <c r="BI13" s="458"/>
      <c r="BJ13" s="458"/>
      <c r="BK13" s="458"/>
      <c r="BL13" s="458"/>
      <c r="BM13" s="205"/>
      <c r="BN13" s="457"/>
      <c r="BO13" s="457"/>
      <c r="BP13" s="457"/>
      <c r="BQ13" s="457"/>
      <c r="BS13" s="457"/>
      <c r="BU13" s="457"/>
      <c r="BV13" s="457"/>
      <c r="BW13" s="457"/>
      <c r="BX13" s="457"/>
      <c r="BY13" s="457"/>
      <c r="BZ13" s="457"/>
      <c r="CA13" s="457"/>
      <c r="CB13" s="457"/>
      <c r="CD13" s="380"/>
      <c r="CF13" s="457"/>
      <c r="CG13" s="457"/>
      <c r="CH13" s="457"/>
      <c r="CI13" s="457"/>
      <c r="CJ13" s="457"/>
      <c r="CK13" s="457"/>
      <c r="CL13" s="457"/>
      <c r="CM13" s="457"/>
      <c r="CO13" s="380"/>
      <c r="CW13" s="457"/>
    </row>
    <row r="14" spans="1:101" ht="15" x14ac:dyDescent="0.25">
      <c r="C14" s="1" t="s">
        <v>593</v>
      </c>
      <c r="D14" s="19">
        <f>'TSM (ENPH)'!C6</f>
        <v>305.25</v>
      </c>
      <c r="E14" s="64">
        <f>'TSM (ENPH)'!L15</f>
        <v>142.19965700903745</v>
      </c>
      <c r="F14" s="64">
        <f>D14*E14</f>
        <v>43406.44530200868</v>
      </c>
      <c r="G14" s="64">
        <f>'TSM (ENPH)'!L23</f>
        <v>43170.255302008678</v>
      </c>
      <c r="H14" s="64"/>
      <c r="I14" s="64">
        <v>316</v>
      </c>
      <c r="J14" s="64">
        <v>624</v>
      </c>
      <c r="K14" s="64">
        <v>774</v>
      </c>
      <c r="L14" s="64">
        <v>1382</v>
      </c>
      <c r="M14" s="64">
        <v>2309</v>
      </c>
      <c r="N14" s="64">
        <v>3157</v>
      </c>
      <c r="O14" s="64">
        <v>3901</v>
      </c>
      <c r="P14" s="64">
        <v>4625</v>
      </c>
      <c r="Q14" s="64"/>
      <c r="R14" s="64">
        <v>94</v>
      </c>
      <c r="S14" s="64">
        <v>221</v>
      </c>
      <c r="T14" s="64">
        <v>344</v>
      </c>
      <c r="U14" s="64">
        <v>554</v>
      </c>
      <c r="V14" s="64">
        <v>957</v>
      </c>
      <c r="W14" s="64">
        <v>1282</v>
      </c>
      <c r="X14" s="64">
        <v>1614</v>
      </c>
      <c r="Y14" s="64">
        <v>1855</v>
      </c>
      <c r="Z14" s="64"/>
      <c r="AA14" s="64">
        <v>16</v>
      </c>
      <c r="AB14" s="64">
        <v>119</v>
      </c>
      <c r="AC14" s="64">
        <v>205</v>
      </c>
      <c r="AD14" s="64">
        <v>247</v>
      </c>
      <c r="AE14" s="64">
        <v>711</v>
      </c>
      <c r="AF14" s="64">
        <v>964</v>
      </c>
      <c r="AG14" s="64">
        <v>1171</v>
      </c>
      <c r="AH14" s="64">
        <v>1446</v>
      </c>
      <c r="AI14" s="64"/>
      <c r="AJ14" s="64">
        <v>4</v>
      </c>
      <c r="AK14" s="64">
        <v>15</v>
      </c>
      <c r="AL14" s="64">
        <v>21</v>
      </c>
      <c r="AM14" s="64">
        <v>51</v>
      </c>
      <c r="AN14" s="64">
        <v>43</v>
      </c>
      <c r="AO14" s="64">
        <v>56</v>
      </c>
      <c r="AP14" s="64">
        <v>66</v>
      </c>
      <c r="AQ14" s="64">
        <v>92</v>
      </c>
      <c r="AR14" s="64"/>
      <c r="AS14" s="64">
        <f t="shared" ref="AS14:AZ17" si="15">AA14-AJ14</f>
        <v>12</v>
      </c>
      <c r="AT14" s="64">
        <f t="shared" si="15"/>
        <v>104</v>
      </c>
      <c r="AU14" s="64">
        <f t="shared" si="15"/>
        <v>184</v>
      </c>
      <c r="AV14" s="64">
        <f t="shared" si="15"/>
        <v>196</v>
      </c>
      <c r="AW14" s="64">
        <f t="shared" si="15"/>
        <v>668</v>
      </c>
      <c r="AX14" s="64">
        <f t="shared" si="15"/>
        <v>908</v>
      </c>
      <c r="AY14" s="64">
        <f t="shared" si="15"/>
        <v>1105</v>
      </c>
      <c r="AZ14" s="64">
        <f t="shared" si="15"/>
        <v>1354</v>
      </c>
      <c r="BB14" s="225">
        <f t="shared" ref="BB14:BF17" si="16">$G14/L14</f>
        <v>31.237521926200202</v>
      </c>
      <c r="BC14" s="225">
        <f t="shared" si="16"/>
        <v>18.696515938505275</v>
      </c>
      <c r="BD14" s="225">
        <f t="shared" si="16"/>
        <v>13.67445527463056</v>
      </c>
      <c r="BE14" s="225">
        <f t="shared" si="16"/>
        <v>11.066458677777154</v>
      </c>
      <c r="BF14" s="225">
        <f t="shared" si="16"/>
        <v>9.3341092544883626</v>
      </c>
      <c r="BH14" s="225">
        <f t="shared" ref="BH14:BL17" si="17">$G14/AD14</f>
        <v>174.77836154659383</v>
      </c>
      <c r="BI14" s="225">
        <f t="shared" si="17"/>
        <v>60.717658652614176</v>
      </c>
      <c r="BJ14" s="225">
        <f t="shared" si="17"/>
        <v>44.782422512457131</v>
      </c>
      <c r="BK14" s="225">
        <f t="shared" si="17"/>
        <v>36.866144578999723</v>
      </c>
      <c r="BL14" s="225">
        <f t="shared" si="17"/>
        <v>29.854948341638089</v>
      </c>
      <c r="BN14" s="64">
        <v>349</v>
      </c>
      <c r="BO14" s="64">
        <v>493</v>
      </c>
      <c r="BP14" s="64">
        <v>669</v>
      </c>
      <c r="BQ14" s="64">
        <v>751</v>
      </c>
      <c r="BS14" s="459">
        <f>RATE(3,,-L14,O14)</f>
        <v>0.41326185036665597</v>
      </c>
      <c r="BU14" s="87">
        <f t="shared" ref="BU14:CB17" si="18">R14/I14</f>
        <v>0.29746835443037972</v>
      </c>
      <c r="BV14" s="87">
        <f t="shared" si="18"/>
        <v>0.35416666666666669</v>
      </c>
      <c r="BW14" s="87">
        <f t="shared" si="18"/>
        <v>0.44444444444444442</v>
      </c>
      <c r="BX14" s="87">
        <f t="shared" si="18"/>
        <v>0.40086830680173663</v>
      </c>
      <c r="BY14" s="87">
        <f t="shared" si="18"/>
        <v>0.41446513642269378</v>
      </c>
      <c r="BZ14" s="87">
        <f t="shared" si="18"/>
        <v>0.40608172315489388</v>
      </c>
      <c r="CA14" s="87">
        <f t="shared" si="18"/>
        <v>0.41374006664957702</v>
      </c>
      <c r="CB14" s="87">
        <f t="shared" si="18"/>
        <v>0.40108108108108109</v>
      </c>
      <c r="CD14" s="472">
        <f>AVERAGE(BX14:CA14)</f>
        <v>0.4087888082572253</v>
      </c>
      <c r="CF14" s="87">
        <f t="shared" ref="CF14:CM17" si="19">AA14/I14</f>
        <v>5.0632911392405063E-2</v>
      </c>
      <c r="CG14" s="87">
        <f t="shared" si="19"/>
        <v>0.19070512820512819</v>
      </c>
      <c r="CH14" s="87">
        <f t="shared" si="19"/>
        <v>0.26485788113695091</v>
      </c>
      <c r="CI14" s="87">
        <f t="shared" si="19"/>
        <v>0.17872648335745298</v>
      </c>
      <c r="CJ14" s="87">
        <f t="shared" si="19"/>
        <v>0.30792550887830228</v>
      </c>
      <c r="CK14" s="87">
        <f t="shared" si="19"/>
        <v>0.30535318340196388</v>
      </c>
      <c r="CL14" s="87">
        <f t="shared" si="19"/>
        <v>0.30017944116893103</v>
      </c>
      <c r="CM14" s="87">
        <f t="shared" si="19"/>
        <v>0.31264864864864866</v>
      </c>
      <c r="CO14" s="472">
        <f>AVERAGE(CI14:CL14)</f>
        <v>0.27304615420166256</v>
      </c>
      <c r="CW14" s="459">
        <f>RATE(3,,-N14,Q14)</f>
        <v>-0.99999974478297993</v>
      </c>
    </row>
    <row r="15" spans="1:101" ht="15" x14ac:dyDescent="0.25">
      <c r="C15" s="1" t="s">
        <v>465</v>
      </c>
      <c r="D15" s="19">
        <f>'TSM (GNRC)'!C6</f>
        <v>116.7</v>
      </c>
      <c r="E15" s="64">
        <f>'TSM (GNRC)'!L15</f>
        <v>64.798669377120817</v>
      </c>
      <c r="F15" s="64">
        <f>D15*E15</f>
        <v>7562.0047163099998</v>
      </c>
      <c r="G15" s="64">
        <f>'TSM (GNRC)'!L23</f>
        <v>8546.2617163100003</v>
      </c>
      <c r="H15" s="64"/>
      <c r="I15" s="64">
        <v>2023</v>
      </c>
      <c r="J15" s="64">
        <v>2241</v>
      </c>
      <c r="K15" s="64">
        <v>2522</v>
      </c>
      <c r="L15" s="64">
        <v>3774</v>
      </c>
      <c r="M15" s="64">
        <v>4668</v>
      </c>
      <c r="N15" s="64">
        <v>4568</v>
      </c>
      <c r="O15" s="64">
        <v>4975</v>
      </c>
      <c r="P15" s="64">
        <v>5824</v>
      </c>
      <c r="Q15" s="64"/>
      <c r="R15" s="64">
        <v>704</v>
      </c>
      <c r="S15" s="64">
        <v>769</v>
      </c>
      <c r="T15" s="64">
        <v>923</v>
      </c>
      <c r="U15" s="64">
        <v>1310</v>
      </c>
      <c r="V15" s="64">
        <v>1616</v>
      </c>
      <c r="W15" s="64">
        <v>1660</v>
      </c>
      <c r="X15" s="64">
        <v>1611</v>
      </c>
      <c r="Y15" s="64">
        <v>1988</v>
      </c>
      <c r="Z15" s="64"/>
      <c r="AA15" s="64">
        <v>405</v>
      </c>
      <c r="AB15" s="64">
        <v>433</v>
      </c>
      <c r="AC15" s="64">
        <v>546</v>
      </c>
      <c r="AD15" s="64">
        <v>828</v>
      </c>
      <c r="AE15" s="64">
        <v>888</v>
      </c>
      <c r="AF15" s="64">
        <v>921</v>
      </c>
      <c r="AG15" s="64">
        <v>1041</v>
      </c>
      <c r="AH15" s="64">
        <v>1364</v>
      </c>
      <c r="AI15" s="64"/>
      <c r="AJ15" s="64">
        <v>48</v>
      </c>
      <c r="AK15" s="64">
        <v>61</v>
      </c>
      <c r="AL15" s="64">
        <v>62</v>
      </c>
      <c r="AM15" s="64">
        <v>110</v>
      </c>
      <c r="AN15" s="64">
        <v>112</v>
      </c>
      <c r="AO15" s="64">
        <v>124</v>
      </c>
      <c r="AP15" s="64">
        <v>137</v>
      </c>
      <c r="AQ15" s="64">
        <v>164</v>
      </c>
      <c r="AR15" s="64"/>
      <c r="AS15" s="64">
        <f t="shared" si="15"/>
        <v>357</v>
      </c>
      <c r="AT15" s="64">
        <f t="shared" si="15"/>
        <v>372</v>
      </c>
      <c r="AU15" s="64">
        <f t="shared" si="15"/>
        <v>484</v>
      </c>
      <c r="AV15" s="64">
        <f t="shared" si="15"/>
        <v>718</v>
      </c>
      <c r="AW15" s="64">
        <f t="shared" si="15"/>
        <v>776</v>
      </c>
      <c r="AX15" s="64">
        <f t="shared" si="15"/>
        <v>797</v>
      </c>
      <c r="AY15" s="64">
        <f t="shared" si="15"/>
        <v>904</v>
      </c>
      <c r="AZ15" s="64">
        <f t="shared" si="15"/>
        <v>1200</v>
      </c>
      <c r="BB15" s="225">
        <f t="shared" si="16"/>
        <v>2.2645102586936936</v>
      </c>
      <c r="BC15" s="225">
        <f t="shared" si="16"/>
        <v>1.8308187052934877</v>
      </c>
      <c r="BD15" s="225">
        <f t="shared" si="16"/>
        <v>1.8708979238857268</v>
      </c>
      <c r="BE15" s="225">
        <f t="shared" si="16"/>
        <v>1.7178415510170855</v>
      </c>
      <c r="BF15" s="225">
        <f t="shared" si="16"/>
        <v>1.4674213111796017</v>
      </c>
      <c r="BH15" s="225">
        <f t="shared" si="17"/>
        <v>10.321572121147343</v>
      </c>
      <c r="BI15" s="225">
        <f t="shared" si="17"/>
        <v>9.6241685994481987</v>
      </c>
      <c r="BJ15" s="225">
        <f t="shared" si="17"/>
        <v>9.2793286822041257</v>
      </c>
      <c r="BK15" s="225">
        <f t="shared" si="17"/>
        <v>8.2096654335350632</v>
      </c>
      <c r="BL15" s="225">
        <f t="shared" si="17"/>
        <v>6.2655877685557186</v>
      </c>
      <c r="BN15" s="64">
        <v>471</v>
      </c>
      <c r="BO15" s="64">
        <v>499</v>
      </c>
      <c r="BP15" s="64">
        <v>547</v>
      </c>
      <c r="BQ15" s="64">
        <v>714</v>
      </c>
      <c r="BS15" s="459">
        <f>RATE(3,,-L15,O15)</f>
        <v>9.6470781237041378E-2</v>
      </c>
      <c r="BU15" s="87">
        <f t="shared" si="18"/>
        <v>0.34799802273850716</v>
      </c>
      <c r="BV15" s="87">
        <f t="shared" si="18"/>
        <v>0.34315037929495762</v>
      </c>
      <c r="BW15" s="87">
        <f t="shared" si="18"/>
        <v>0.36597938144329895</v>
      </c>
      <c r="BX15" s="87">
        <f t="shared" si="18"/>
        <v>0.347111817700053</v>
      </c>
      <c r="BY15" s="87">
        <f t="shared" si="18"/>
        <v>0.34618680377035133</v>
      </c>
      <c r="BZ15" s="87">
        <f t="shared" si="18"/>
        <v>0.36339754816112085</v>
      </c>
      <c r="CA15" s="87">
        <f t="shared" si="18"/>
        <v>0.32381909547738691</v>
      </c>
      <c r="CB15" s="87">
        <f t="shared" si="18"/>
        <v>0.34134615384615385</v>
      </c>
      <c r="CD15" s="472">
        <f>AVERAGE(BX15:CA15)</f>
        <v>0.34512881627722802</v>
      </c>
      <c r="CF15" s="87">
        <f t="shared" si="19"/>
        <v>0.20019772614928324</v>
      </c>
      <c r="CG15" s="87">
        <f t="shared" si="19"/>
        <v>0.19321731369924142</v>
      </c>
      <c r="CH15" s="87">
        <f t="shared" si="19"/>
        <v>0.21649484536082475</v>
      </c>
      <c r="CI15" s="87">
        <f t="shared" si="19"/>
        <v>0.21939586645468998</v>
      </c>
      <c r="CJ15" s="87">
        <f t="shared" si="19"/>
        <v>0.19023136246786632</v>
      </c>
      <c r="CK15" s="87">
        <f t="shared" si="19"/>
        <v>0.2016199649737303</v>
      </c>
      <c r="CL15" s="87">
        <f t="shared" si="19"/>
        <v>0.20924623115577889</v>
      </c>
      <c r="CM15" s="87">
        <f t="shared" si="19"/>
        <v>0.2342032967032967</v>
      </c>
      <c r="CO15" s="472">
        <f>AVERAGE(CI15:CL15)</f>
        <v>0.20512335626301639</v>
      </c>
      <c r="CW15" s="459">
        <f>RATE(3,,-N15,Q15)</f>
        <v>-0.99999974478297993</v>
      </c>
    </row>
    <row r="16" spans="1:101" ht="15" x14ac:dyDescent="0.25">
      <c r="C16" s="1" t="s">
        <v>594</v>
      </c>
      <c r="D16" s="19">
        <f>'TSM (SMTGY)'!C6</f>
        <v>50.84</v>
      </c>
      <c r="E16" s="64">
        <f>'TSM (SMTGY)'!L15</f>
        <v>34.700000000000003</v>
      </c>
      <c r="F16" s="64">
        <f>D16*E16</f>
        <v>1764.1480000000004</v>
      </c>
      <c r="G16" s="64">
        <f>'TSM (SMTGY)'!L23</f>
        <v>1582.2580000000003</v>
      </c>
      <c r="H16" s="64"/>
      <c r="I16" s="64">
        <v>757</v>
      </c>
      <c r="J16" s="64">
        <v>910</v>
      </c>
      <c r="K16" s="64">
        <v>1021</v>
      </c>
      <c r="L16" s="64">
        <v>979</v>
      </c>
      <c r="M16" s="64">
        <v>1012</v>
      </c>
      <c r="N16" s="64">
        <v>1200</v>
      </c>
      <c r="O16" s="64">
        <v>1384</v>
      </c>
      <c r="P16" s="64">
        <v>1662</v>
      </c>
      <c r="Q16" s="64"/>
      <c r="R16" s="64">
        <v>93</v>
      </c>
      <c r="S16" s="64">
        <v>161</v>
      </c>
      <c r="T16" s="64">
        <v>162</v>
      </c>
      <c r="U16" s="64">
        <v>170</v>
      </c>
      <c r="V16" s="64">
        <v>188</v>
      </c>
      <c r="W16" s="64">
        <v>242</v>
      </c>
      <c r="X16" s="64">
        <v>300</v>
      </c>
      <c r="Y16" s="64">
        <v>296</v>
      </c>
      <c r="Z16" s="64"/>
      <c r="AA16" s="64">
        <v>7</v>
      </c>
      <c r="AB16" s="64">
        <v>29</v>
      </c>
      <c r="AC16" s="64">
        <v>17</v>
      </c>
      <c r="AD16" s="64">
        <v>30</v>
      </c>
      <c r="AE16" s="64">
        <v>56</v>
      </c>
      <c r="AF16" s="64">
        <v>94</v>
      </c>
      <c r="AG16" s="64">
        <v>136</v>
      </c>
      <c r="AH16" s="64">
        <v>194</v>
      </c>
      <c r="AI16" s="64"/>
      <c r="AJ16" s="64">
        <v>40</v>
      </c>
      <c r="AK16" s="64">
        <v>27</v>
      </c>
      <c r="AL16" s="64">
        <v>39</v>
      </c>
      <c r="AM16" s="64">
        <v>56</v>
      </c>
      <c r="AN16" s="64">
        <v>52</v>
      </c>
      <c r="AO16" s="64">
        <v>56</v>
      </c>
      <c r="AP16" s="64">
        <v>56</v>
      </c>
      <c r="AQ16" s="64">
        <v>62</v>
      </c>
      <c r="AR16" s="64"/>
      <c r="AS16" s="64">
        <f t="shared" si="15"/>
        <v>-33</v>
      </c>
      <c r="AT16" s="64">
        <f t="shared" si="15"/>
        <v>2</v>
      </c>
      <c r="AU16" s="64">
        <f t="shared" si="15"/>
        <v>-22</v>
      </c>
      <c r="AV16" s="64">
        <f t="shared" si="15"/>
        <v>-26</v>
      </c>
      <c r="AW16" s="64">
        <f t="shared" si="15"/>
        <v>4</v>
      </c>
      <c r="AX16" s="64">
        <f t="shared" si="15"/>
        <v>38</v>
      </c>
      <c r="AY16" s="64">
        <f t="shared" si="15"/>
        <v>80</v>
      </c>
      <c r="AZ16" s="64">
        <f t="shared" si="15"/>
        <v>132</v>
      </c>
      <c r="BB16" s="225">
        <f t="shared" si="16"/>
        <v>1.6161981613891729</v>
      </c>
      <c r="BC16" s="225">
        <f t="shared" si="16"/>
        <v>1.5634960474308304</v>
      </c>
      <c r="BD16" s="225">
        <f t="shared" si="16"/>
        <v>1.3185483333333337</v>
      </c>
      <c r="BE16" s="225">
        <f t="shared" si="16"/>
        <v>1.1432500000000001</v>
      </c>
      <c r="BF16" s="225">
        <f t="shared" si="16"/>
        <v>0.9520204572803852</v>
      </c>
      <c r="BH16" s="225">
        <f t="shared" si="17"/>
        <v>52.741933333333343</v>
      </c>
      <c r="BI16" s="225">
        <f t="shared" si="17"/>
        <v>28.254607142857147</v>
      </c>
      <c r="BJ16" s="225">
        <f t="shared" si="17"/>
        <v>16.832531914893618</v>
      </c>
      <c r="BK16" s="225">
        <f t="shared" si="17"/>
        <v>11.634250000000002</v>
      </c>
      <c r="BL16" s="225">
        <f t="shared" si="17"/>
        <v>8.1559690721649503</v>
      </c>
      <c r="BN16" s="64">
        <v>13</v>
      </c>
      <c r="BO16" s="64">
        <v>36</v>
      </c>
      <c r="BP16" s="64">
        <v>63</v>
      </c>
      <c r="BQ16" s="64">
        <v>117</v>
      </c>
      <c r="BS16" s="459">
        <f>RATE(3,,-L16,O16)</f>
        <v>0.12232283549346019</v>
      </c>
      <c r="BU16" s="87">
        <f t="shared" si="18"/>
        <v>0.12285336856010567</v>
      </c>
      <c r="BV16" s="87">
        <f t="shared" si="18"/>
        <v>0.17692307692307693</v>
      </c>
      <c r="BW16" s="87">
        <f t="shared" si="18"/>
        <v>0.15866797257590598</v>
      </c>
      <c r="BX16" s="87">
        <f t="shared" si="18"/>
        <v>0.17364657814096016</v>
      </c>
      <c r="BY16" s="87">
        <f t="shared" si="18"/>
        <v>0.1857707509881423</v>
      </c>
      <c r="BZ16" s="87">
        <f t="shared" si="18"/>
        <v>0.20166666666666666</v>
      </c>
      <c r="CA16" s="87">
        <f t="shared" si="18"/>
        <v>0.21676300578034682</v>
      </c>
      <c r="CB16" s="87">
        <f t="shared" si="18"/>
        <v>0.17809867629362214</v>
      </c>
      <c r="CD16" s="472">
        <f>AVERAGE(BX16:CA16)</f>
        <v>0.19446175039402899</v>
      </c>
      <c r="CF16" s="87">
        <f t="shared" si="19"/>
        <v>9.247027741083224E-3</v>
      </c>
      <c r="CG16" s="87">
        <f t="shared" si="19"/>
        <v>3.1868131868131866E-2</v>
      </c>
      <c r="CH16" s="87">
        <f t="shared" si="19"/>
        <v>1.6650342801175319E-2</v>
      </c>
      <c r="CI16" s="87">
        <f t="shared" si="19"/>
        <v>3.0643513789581207E-2</v>
      </c>
      <c r="CJ16" s="87">
        <f t="shared" si="19"/>
        <v>5.533596837944664E-2</v>
      </c>
      <c r="CK16" s="87">
        <f t="shared" si="19"/>
        <v>7.8333333333333338E-2</v>
      </c>
      <c r="CL16" s="87">
        <f t="shared" si="19"/>
        <v>9.8265895953757232E-2</v>
      </c>
      <c r="CM16" s="87">
        <f t="shared" si="19"/>
        <v>0.11672683513838748</v>
      </c>
      <c r="CO16" s="472">
        <f>AVERAGE(CI16:CL16)</f>
        <v>6.564467786402961E-2</v>
      </c>
      <c r="CW16" s="459">
        <f>RATE(3,,-N16,Q16)</f>
        <v>-0.99999974478297993</v>
      </c>
    </row>
    <row r="17" spans="3:101" ht="15" x14ac:dyDescent="0.25">
      <c r="C17" s="1" t="s">
        <v>595</v>
      </c>
      <c r="D17" s="19">
        <f>'TSM (SEDG)'!C6</f>
        <v>231.72</v>
      </c>
      <c r="E17" s="64">
        <f>'TSM (SEDG)'!L15</f>
        <v>57.578005650181254</v>
      </c>
      <c r="F17" s="64">
        <f>D17*E17</f>
        <v>13341.97546926</v>
      </c>
      <c r="G17" s="64">
        <f>'TSM (SEDG)'!L23</f>
        <v>12359.60246926</v>
      </c>
      <c r="H17" s="64"/>
      <c r="I17" s="64">
        <v>937</v>
      </c>
      <c r="J17" s="64">
        <v>1426</v>
      </c>
      <c r="K17" s="64">
        <v>1459</v>
      </c>
      <c r="L17" s="64">
        <v>1964</v>
      </c>
      <c r="M17" s="64">
        <v>3068</v>
      </c>
      <c r="N17" s="64">
        <v>3926</v>
      </c>
      <c r="O17" s="64">
        <v>4787</v>
      </c>
      <c r="P17" s="64">
        <v>5865</v>
      </c>
      <c r="Q17" s="64"/>
      <c r="R17" s="64">
        <v>319</v>
      </c>
      <c r="S17" s="64">
        <v>479</v>
      </c>
      <c r="T17" s="64">
        <v>461</v>
      </c>
      <c r="U17" s="64">
        <v>629</v>
      </c>
      <c r="V17" s="64">
        <v>829</v>
      </c>
      <c r="W17" s="64">
        <v>1173</v>
      </c>
      <c r="X17" s="64">
        <v>1506</v>
      </c>
      <c r="Y17" s="64">
        <v>1839</v>
      </c>
      <c r="Z17" s="64"/>
      <c r="AA17" s="64">
        <v>153</v>
      </c>
      <c r="AB17" s="64">
        <v>240</v>
      </c>
      <c r="AC17" s="64">
        <v>171</v>
      </c>
      <c r="AD17" s="64">
        <v>245</v>
      </c>
      <c r="AE17" s="64">
        <v>441</v>
      </c>
      <c r="AF17" s="64">
        <v>705</v>
      </c>
      <c r="AG17" s="64">
        <v>897</v>
      </c>
      <c r="AH17" s="64">
        <v>1086</v>
      </c>
      <c r="AI17" s="64"/>
      <c r="AJ17" s="64">
        <v>39</v>
      </c>
      <c r="AK17" s="64">
        <v>73</v>
      </c>
      <c r="AL17" s="64">
        <v>127</v>
      </c>
      <c r="AM17" s="64">
        <v>149</v>
      </c>
      <c r="AN17" s="64">
        <v>154</v>
      </c>
      <c r="AO17" s="64">
        <v>141</v>
      </c>
      <c r="AP17" s="64">
        <v>127</v>
      </c>
      <c r="AQ17" s="64">
        <v>132</v>
      </c>
      <c r="AR17" s="64"/>
      <c r="AS17" s="64">
        <f t="shared" si="15"/>
        <v>114</v>
      </c>
      <c r="AT17" s="64">
        <f t="shared" si="15"/>
        <v>167</v>
      </c>
      <c r="AU17" s="64">
        <f t="shared" si="15"/>
        <v>44</v>
      </c>
      <c r="AV17" s="64">
        <f t="shared" si="15"/>
        <v>96</v>
      </c>
      <c r="AW17" s="64">
        <f t="shared" si="15"/>
        <v>287</v>
      </c>
      <c r="AX17" s="64">
        <f t="shared" si="15"/>
        <v>564</v>
      </c>
      <c r="AY17" s="64">
        <f t="shared" si="15"/>
        <v>770</v>
      </c>
      <c r="AZ17" s="64">
        <f t="shared" si="15"/>
        <v>954</v>
      </c>
      <c r="BB17" s="225">
        <f t="shared" si="16"/>
        <v>6.2930766136761713</v>
      </c>
      <c r="BC17" s="225">
        <f t="shared" si="16"/>
        <v>4.0285536079726203</v>
      </c>
      <c r="BD17" s="225">
        <f t="shared" si="16"/>
        <v>3.1481412300713196</v>
      </c>
      <c r="BE17" s="225">
        <f t="shared" si="16"/>
        <v>2.5819098536160436</v>
      </c>
      <c r="BF17" s="225">
        <f t="shared" si="16"/>
        <v>2.1073490996180735</v>
      </c>
      <c r="BH17" s="225">
        <f t="shared" si="17"/>
        <v>50.447357017387759</v>
      </c>
      <c r="BI17" s="225">
        <f t="shared" si="17"/>
        <v>28.026309454104311</v>
      </c>
      <c r="BJ17" s="225">
        <f t="shared" si="17"/>
        <v>17.53135102022695</v>
      </c>
      <c r="BK17" s="225">
        <f t="shared" si="17"/>
        <v>13.778821035964326</v>
      </c>
      <c r="BL17" s="225">
        <f t="shared" si="17"/>
        <v>11.380849419208104</v>
      </c>
      <c r="BN17" s="64">
        <v>173</v>
      </c>
      <c r="BO17" s="64">
        <v>421</v>
      </c>
      <c r="BP17" s="64">
        <v>595</v>
      </c>
      <c r="BQ17" s="64">
        <v>760</v>
      </c>
      <c r="BS17" s="459">
        <f>RATE(3,,-L17,O17)</f>
        <v>0.3457797257483185</v>
      </c>
      <c r="BU17" s="87">
        <f t="shared" si="18"/>
        <v>0.34044823906083244</v>
      </c>
      <c r="BV17" s="87">
        <f t="shared" si="18"/>
        <v>0.33590462833099577</v>
      </c>
      <c r="BW17" s="87">
        <f t="shared" si="18"/>
        <v>0.31596984235777931</v>
      </c>
      <c r="BX17" s="87">
        <f t="shared" si="18"/>
        <v>0.32026476578411406</v>
      </c>
      <c r="BY17" s="87">
        <f t="shared" si="18"/>
        <v>0.27020860495436766</v>
      </c>
      <c r="BZ17" s="87">
        <f t="shared" si="18"/>
        <v>0.29877738155883854</v>
      </c>
      <c r="CA17" s="87">
        <f t="shared" si="18"/>
        <v>0.314602047211197</v>
      </c>
      <c r="CB17" s="87">
        <f t="shared" si="18"/>
        <v>0.3135549872122762</v>
      </c>
      <c r="CD17" s="472">
        <f>AVERAGE(BX17:CA17)</f>
        <v>0.30096319987712933</v>
      </c>
      <c r="CF17" s="87">
        <f t="shared" si="19"/>
        <v>0.1632870864461046</v>
      </c>
      <c r="CG17" s="87">
        <f t="shared" si="19"/>
        <v>0.16830294530154277</v>
      </c>
      <c r="CH17" s="87">
        <f t="shared" si="19"/>
        <v>0.11720356408498972</v>
      </c>
      <c r="CI17" s="87">
        <f t="shared" si="19"/>
        <v>0.12474541751527495</v>
      </c>
      <c r="CJ17" s="87">
        <f t="shared" si="19"/>
        <v>0.14374185136897003</v>
      </c>
      <c r="CK17" s="87">
        <f t="shared" si="19"/>
        <v>0.17957208354559348</v>
      </c>
      <c r="CL17" s="87">
        <f t="shared" si="19"/>
        <v>0.1873824942552747</v>
      </c>
      <c r="CM17" s="87">
        <f t="shared" si="19"/>
        <v>0.18516624040920715</v>
      </c>
      <c r="CO17" s="472">
        <f>AVERAGE(CI17:CL17)</f>
        <v>0.15886046167127826</v>
      </c>
      <c r="CW17" s="459">
        <f>RATE(3,,-N17,Q17)</f>
        <v>-0.99999974478297993</v>
      </c>
    </row>
    <row r="18" spans="3:101" x14ac:dyDescent="0.2"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B18" s="225"/>
      <c r="BC18" s="225"/>
      <c r="BD18" s="225"/>
      <c r="BE18" s="225"/>
      <c r="BF18" s="225"/>
      <c r="BH18" s="225"/>
      <c r="BI18" s="225"/>
      <c r="BJ18" s="225"/>
      <c r="BK18" s="225"/>
      <c r="BL18" s="225"/>
      <c r="BN18" s="64"/>
      <c r="BO18" s="64"/>
      <c r="BP18" s="64"/>
      <c r="BQ18" s="64"/>
      <c r="BS18" s="64"/>
      <c r="BU18" s="64"/>
      <c r="BV18" s="64"/>
      <c r="BW18" s="64"/>
      <c r="BX18" s="64"/>
      <c r="BY18" s="64"/>
      <c r="BZ18" s="64"/>
      <c r="CA18" s="64"/>
      <c r="CB18" s="64"/>
      <c r="CD18" s="64"/>
      <c r="CF18" s="64"/>
      <c r="CG18" s="64"/>
      <c r="CH18" s="64"/>
      <c r="CI18" s="64"/>
      <c r="CJ18" s="64"/>
      <c r="CK18" s="64"/>
      <c r="CL18" s="64"/>
      <c r="CM18" s="64"/>
      <c r="CO18" s="64"/>
      <c r="CW18" s="64"/>
    </row>
    <row r="19" spans="3:101" ht="15" x14ac:dyDescent="0.25">
      <c r="C19" s="205" t="s">
        <v>467</v>
      </c>
      <c r="D19" s="205"/>
      <c r="E19" s="457"/>
      <c r="F19" s="457"/>
      <c r="G19" s="457"/>
      <c r="H19" s="457"/>
      <c r="I19" s="457"/>
      <c r="J19" s="457"/>
      <c r="K19" s="457"/>
      <c r="L19" s="457"/>
      <c r="M19" s="457"/>
      <c r="N19" s="457"/>
      <c r="O19" s="457"/>
      <c r="P19" s="457"/>
      <c r="Q19" s="457"/>
      <c r="R19" s="457"/>
      <c r="S19" s="457"/>
      <c r="T19" s="457"/>
      <c r="U19" s="457"/>
      <c r="V19" s="457"/>
      <c r="W19" s="457"/>
      <c r="X19" s="457"/>
      <c r="Y19" s="457"/>
      <c r="Z19" s="457"/>
      <c r="AA19" s="457"/>
      <c r="AB19" s="457"/>
      <c r="AC19" s="457"/>
      <c r="AD19" s="457"/>
      <c r="AE19" s="457"/>
      <c r="AF19" s="457"/>
      <c r="AG19" s="457"/>
      <c r="AH19" s="457"/>
      <c r="AI19" s="457"/>
      <c r="AJ19" s="457"/>
      <c r="AK19" s="457"/>
      <c r="AL19" s="457"/>
      <c r="AM19" s="457"/>
      <c r="AN19" s="457"/>
      <c r="AO19" s="457"/>
      <c r="AP19" s="457"/>
      <c r="AQ19" s="457"/>
      <c r="AR19" s="457"/>
      <c r="AS19" s="457"/>
      <c r="AT19" s="457"/>
      <c r="AU19" s="457"/>
      <c r="AV19" s="457"/>
      <c r="AW19" s="457"/>
      <c r="AX19" s="457"/>
      <c r="AY19" s="457"/>
      <c r="AZ19" s="457"/>
      <c r="BA19" s="205"/>
      <c r="BB19" s="458"/>
      <c r="BC19" s="458"/>
      <c r="BD19" s="458"/>
      <c r="BE19" s="458"/>
      <c r="BF19" s="458"/>
      <c r="BG19" s="205"/>
      <c r="BH19" s="458"/>
      <c r="BI19" s="458"/>
      <c r="BJ19" s="458"/>
      <c r="BK19" s="458"/>
      <c r="BL19" s="458"/>
      <c r="BM19" s="205"/>
      <c r="BN19" s="457"/>
      <c r="BO19" s="457"/>
      <c r="BP19" s="457"/>
      <c r="BQ19" s="457"/>
      <c r="BS19" s="457"/>
      <c r="BU19" s="457"/>
      <c r="BV19" s="457"/>
      <c r="BW19" s="457"/>
      <c r="BX19" s="457"/>
      <c r="BY19" s="457"/>
      <c r="BZ19" s="457"/>
      <c r="CA19" s="457"/>
      <c r="CB19" s="457"/>
      <c r="CD19" s="380"/>
      <c r="CF19" s="457"/>
      <c r="CG19" s="457"/>
      <c r="CH19" s="457"/>
      <c r="CI19" s="457"/>
      <c r="CJ19" s="457"/>
      <c r="CK19" s="457"/>
      <c r="CL19" s="457"/>
      <c r="CM19" s="457"/>
      <c r="CO19" s="380"/>
      <c r="CW19" s="457"/>
    </row>
    <row r="20" spans="3:101" ht="15" x14ac:dyDescent="0.25">
      <c r="C20" s="1" t="s">
        <v>469</v>
      </c>
      <c r="D20" s="19">
        <f>'TSM (CSIQ)'!C6</f>
        <v>31.93</v>
      </c>
      <c r="E20" s="64">
        <f>'TSM (CSIQ)'!L15</f>
        <v>67.732967725336678</v>
      </c>
      <c r="F20" s="64">
        <f>D20*E20</f>
        <v>2162.71365947</v>
      </c>
      <c r="G20" s="64">
        <f>'TSM (CSIQ)'!L22</f>
        <v>3661.23365947</v>
      </c>
      <c r="H20" s="64"/>
      <c r="I20" s="64">
        <v>3745</v>
      </c>
      <c r="J20" s="64">
        <v>3201</v>
      </c>
      <c r="K20" s="64">
        <v>3476</v>
      </c>
      <c r="L20" s="64">
        <v>5277</v>
      </c>
      <c r="M20" s="64">
        <v>7748</v>
      </c>
      <c r="N20" s="64">
        <v>9210</v>
      </c>
      <c r="O20" s="64">
        <v>9993</v>
      </c>
      <c r="P20" s="64">
        <v>11069</v>
      </c>
      <c r="Q20" s="64"/>
      <c r="R20" s="64">
        <v>775</v>
      </c>
      <c r="S20" s="64">
        <v>718</v>
      </c>
      <c r="T20" s="64">
        <v>690</v>
      </c>
      <c r="U20" s="64">
        <v>909</v>
      </c>
      <c r="V20" s="64">
        <v>1243</v>
      </c>
      <c r="W20" s="64">
        <v>1680</v>
      </c>
      <c r="X20" s="64">
        <v>1828</v>
      </c>
      <c r="Y20" s="64" t="e">
        <v>#N/A</v>
      </c>
      <c r="Z20" s="64"/>
      <c r="AA20" s="64">
        <v>449</v>
      </c>
      <c r="AB20" s="64">
        <v>427</v>
      </c>
      <c r="AC20" s="64">
        <v>412</v>
      </c>
      <c r="AD20" s="64">
        <v>441</v>
      </c>
      <c r="AE20" s="64">
        <v>532</v>
      </c>
      <c r="AF20" s="64">
        <v>843</v>
      </c>
      <c r="AG20" s="64">
        <v>1013</v>
      </c>
      <c r="AH20" s="64">
        <v>1117</v>
      </c>
      <c r="AI20" s="64"/>
      <c r="AJ20" s="64">
        <v>316</v>
      </c>
      <c r="AK20" s="64">
        <v>291</v>
      </c>
      <c r="AL20" s="64">
        <v>378</v>
      </c>
      <c r="AM20" s="64">
        <v>401</v>
      </c>
      <c r="AN20" s="64">
        <v>846</v>
      </c>
      <c r="AO20" s="64">
        <v>1185</v>
      </c>
      <c r="AP20" s="64">
        <v>744</v>
      </c>
      <c r="AQ20" s="64">
        <v>900</v>
      </c>
      <c r="AR20" s="64"/>
      <c r="AS20" s="64">
        <f t="shared" ref="AS20:AZ23" si="20">AA20-AJ20</f>
        <v>133</v>
      </c>
      <c r="AT20" s="64">
        <f t="shared" si="20"/>
        <v>136</v>
      </c>
      <c r="AU20" s="64">
        <f t="shared" si="20"/>
        <v>34</v>
      </c>
      <c r="AV20" s="64">
        <f t="shared" si="20"/>
        <v>40</v>
      </c>
      <c r="AW20" s="64">
        <f t="shared" si="20"/>
        <v>-314</v>
      </c>
      <c r="AX20" s="64">
        <f t="shared" si="20"/>
        <v>-342</v>
      </c>
      <c r="AY20" s="64">
        <f t="shared" si="20"/>
        <v>269</v>
      </c>
      <c r="AZ20" s="64">
        <f t="shared" si="20"/>
        <v>217</v>
      </c>
      <c r="BB20" s="225">
        <f t="shared" ref="BB20:BF23" si="21">$G20/L20</f>
        <v>0.69380967585180975</v>
      </c>
      <c r="BC20" s="225">
        <f t="shared" si="21"/>
        <v>0.4725391919811564</v>
      </c>
      <c r="BD20" s="225">
        <f t="shared" si="21"/>
        <v>0.39752808463300759</v>
      </c>
      <c r="BE20" s="225">
        <f t="shared" si="21"/>
        <v>0.36637983182928052</v>
      </c>
      <c r="BF20" s="225">
        <f t="shared" si="21"/>
        <v>0.33076462728972805</v>
      </c>
      <c r="BH20" s="225">
        <f t="shared" ref="BH20:BL23" si="22">$G20/AD20</f>
        <v>8.3021171416553283</v>
      </c>
      <c r="BI20" s="225">
        <f t="shared" si="22"/>
        <v>6.8820181568984964</v>
      </c>
      <c r="BJ20" s="225">
        <f t="shared" si="22"/>
        <v>4.3431004264175561</v>
      </c>
      <c r="BK20" s="225">
        <f t="shared" si="22"/>
        <v>3.61424842988154</v>
      </c>
      <c r="BL20" s="225">
        <f t="shared" si="22"/>
        <v>3.277738280635631</v>
      </c>
      <c r="BN20" s="64">
        <v>155</v>
      </c>
      <c r="BO20" s="64">
        <v>342</v>
      </c>
      <c r="BP20" s="64">
        <v>353</v>
      </c>
      <c r="BQ20" s="64">
        <v>493</v>
      </c>
      <c r="BS20" s="459">
        <f>RATE(3,,-L20,O20)</f>
        <v>0.2371896108490304</v>
      </c>
      <c r="BU20" s="87">
        <f t="shared" ref="BU20:CB23" si="23">R20/I20</f>
        <v>0.20694259012016022</v>
      </c>
      <c r="BV20" s="87">
        <f t="shared" si="23"/>
        <v>0.22430490471727585</v>
      </c>
      <c r="BW20" s="87">
        <f t="shared" si="23"/>
        <v>0.19850402761795166</v>
      </c>
      <c r="BX20" s="87">
        <f t="shared" si="23"/>
        <v>0.17225696418419556</v>
      </c>
      <c r="BY20" s="87">
        <f t="shared" si="23"/>
        <v>0.16042849767681983</v>
      </c>
      <c r="BZ20" s="87">
        <f t="shared" si="23"/>
        <v>0.18241042345276873</v>
      </c>
      <c r="CA20" s="87">
        <f t="shared" si="23"/>
        <v>0.18292804963474432</v>
      </c>
      <c r="CB20" s="87" t="e">
        <f t="shared" si="23"/>
        <v>#N/A</v>
      </c>
      <c r="CD20" s="472">
        <f>AVERAGE(BX20:CA20)</f>
        <v>0.17450598373713211</v>
      </c>
      <c r="CF20" s="87">
        <f t="shared" ref="CF20:CM23" si="24">AA20/I20</f>
        <v>0.1198931909212283</v>
      </c>
      <c r="CG20" s="87">
        <f t="shared" si="24"/>
        <v>0.13339581380818494</v>
      </c>
      <c r="CH20" s="87">
        <f t="shared" si="24"/>
        <v>0.11852704257767549</v>
      </c>
      <c r="CI20" s="87">
        <f t="shared" si="24"/>
        <v>8.3570210346787951E-2</v>
      </c>
      <c r="CJ20" s="87">
        <f t="shared" si="24"/>
        <v>6.8662880743417656E-2</v>
      </c>
      <c r="CK20" s="87">
        <f t="shared" si="24"/>
        <v>9.153094462540716E-2</v>
      </c>
      <c r="CL20" s="87">
        <f t="shared" si="24"/>
        <v>0.10137095967177023</v>
      </c>
      <c r="CM20" s="87">
        <f t="shared" si="24"/>
        <v>0.10091245821664106</v>
      </c>
      <c r="CO20" s="472">
        <f>AVERAGE(CI20:CL20)</f>
        <v>8.6283748846845754E-2</v>
      </c>
      <c r="CW20" s="459">
        <f>RATE(3,,-N20,Q20)</f>
        <v>-0.99999974478297993</v>
      </c>
    </row>
    <row r="21" spans="3:101" ht="15" x14ac:dyDescent="0.25">
      <c r="C21" s="1" t="s">
        <v>470</v>
      </c>
      <c r="D21" s="19">
        <f>'TSM (FSLR)'!C6</f>
        <v>132.66999999999999</v>
      </c>
      <c r="E21" s="64">
        <f>'TSM (FSLR)'!L15</f>
        <v>107.92247</v>
      </c>
      <c r="F21" s="64">
        <f>D21*E21</f>
        <v>14318.074094899999</v>
      </c>
      <c r="G21" s="64">
        <f>'TSM (FSLR)'!L23</f>
        <v>12650.538094899999</v>
      </c>
      <c r="H21" s="64"/>
      <c r="I21" s="64">
        <v>2246</v>
      </c>
      <c r="J21" s="64">
        <v>3063</v>
      </c>
      <c r="K21" s="64">
        <v>2711</v>
      </c>
      <c r="L21" s="64">
        <v>2923</v>
      </c>
      <c r="M21" s="64">
        <v>2627</v>
      </c>
      <c r="N21" s="64">
        <v>3417</v>
      </c>
      <c r="O21" s="64">
        <v>4473</v>
      </c>
      <c r="P21" s="64">
        <v>5237</v>
      </c>
      <c r="Q21" s="64"/>
      <c r="R21" s="64">
        <v>394</v>
      </c>
      <c r="S21" s="64">
        <v>548</v>
      </c>
      <c r="T21" s="64">
        <v>681</v>
      </c>
      <c r="U21" s="64">
        <v>730</v>
      </c>
      <c r="V21" s="64">
        <v>123</v>
      </c>
      <c r="W21" s="64">
        <v>622</v>
      </c>
      <c r="X21" s="64">
        <v>1320</v>
      </c>
      <c r="Y21" s="64">
        <v>1827</v>
      </c>
      <c r="Z21" s="64"/>
      <c r="AA21" s="64">
        <v>267</v>
      </c>
      <c r="AB21" s="64">
        <v>451</v>
      </c>
      <c r="AC21" s="64">
        <v>597</v>
      </c>
      <c r="AD21" s="64">
        <v>720</v>
      </c>
      <c r="AE21" s="64">
        <v>300</v>
      </c>
      <c r="AF21" s="64">
        <v>818</v>
      </c>
      <c r="AG21" s="64">
        <v>1517</v>
      </c>
      <c r="AH21" s="64">
        <v>2317</v>
      </c>
      <c r="AI21" s="64"/>
      <c r="AJ21" s="64">
        <v>740</v>
      </c>
      <c r="AK21" s="64">
        <v>669</v>
      </c>
      <c r="AL21" s="64">
        <v>464</v>
      </c>
      <c r="AM21" s="64">
        <v>540</v>
      </c>
      <c r="AN21" s="64">
        <v>899</v>
      </c>
      <c r="AO21" s="64">
        <v>807</v>
      </c>
      <c r="AP21" s="64">
        <v>723</v>
      </c>
      <c r="AQ21" s="64">
        <v>437</v>
      </c>
      <c r="AR21" s="64"/>
      <c r="AS21" s="64">
        <f t="shared" si="20"/>
        <v>-473</v>
      </c>
      <c r="AT21" s="64">
        <f t="shared" si="20"/>
        <v>-218</v>
      </c>
      <c r="AU21" s="64">
        <f t="shared" si="20"/>
        <v>133</v>
      </c>
      <c r="AV21" s="64">
        <f t="shared" si="20"/>
        <v>180</v>
      </c>
      <c r="AW21" s="64">
        <f t="shared" si="20"/>
        <v>-599</v>
      </c>
      <c r="AX21" s="64">
        <f t="shared" si="20"/>
        <v>11</v>
      </c>
      <c r="AY21" s="64">
        <f t="shared" si="20"/>
        <v>794</v>
      </c>
      <c r="AZ21" s="64">
        <f t="shared" si="20"/>
        <v>1880</v>
      </c>
      <c r="BB21" s="225">
        <f t="shared" si="21"/>
        <v>4.3279295569278133</v>
      </c>
      <c r="BC21" s="225">
        <f t="shared" si="21"/>
        <v>4.8155835915112295</v>
      </c>
      <c r="BD21" s="225">
        <f t="shared" si="21"/>
        <v>3.702235321890547</v>
      </c>
      <c r="BE21" s="225">
        <f t="shared" si="21"/>
        <v>2.8281998870780236</v>
      </c>
      <c r="BF21" s="225">
        <f t="shared" si="21"/>
        <v>2.4156078088409392</v>
      </c>
      <c r="BH21" s="225">
        <f t="shared" si="22"/>
        <v>17.570191798472219</v>
      </c>
      <c r="BI21" s="225">
        <f t="shared" si="22"/>
        <v>42.168460316333331</v>
      </c>
      <c r="BJ21" s="225">
        <f t="shared" si="22"/>
        <v>15.465205494987774</v>
      </c>
      <c r="BK21" s="225">
        <f t="shared" si="22"/>
        <v>8.3391813413974951</v>
      </c>
      <c r="BL21" s="225">
        <f t="shared" si="22"/>
        <v>5.4598783318515318</v>
      </c>
      <c r="BN21" s="64">
        <v>-50</v>
      </c>
      <c r="BO21" s="64">
        <v>517</v>
      </c>
      <c r="BP21" s="64">
        <v>1112</v>
      </c>
      <c r="BQ21" s="64">
        <v>1653</v>
      </c>
      <c r="BS21" s="459">
        <f>RATE(3,,-L21,O21)</f>
        <v>0.15236491596071769</v>
      </c>
      <c r="BU21" s="87">
        <f t="shared" si="23"/>
        <v>0.17542297417631345</v>
      </c>
      <c r="BV21" s="87">
        <f t="shared" si="23"/>
        <v>0.17890956578517794</v>
      </c>
      <c r="BW21" s="87">
        <f t="shared" si="23"/>
        <v>0.25119881962375507</v>
      </c>
      <c r="BX21" s="87">
        <f t="shared" si="23"/>
        <v>0.24974341430037633</v>
      </c>
      <c r="BY21" s="87">
        <f t="shared" si="23"/>
        <v>4.6821469356680627E-2</v>
      </c>
      <c r="BZ21" s="87">
        <f t="shared" si="23"/>
        <v>0.18203102136376939</v>
      </c>
      <c r="CA21" s="87">
        <f t="shared" si="23"/>
        <v>0.29510395707578807</v>
      </c>
      <c r="CB21" s="87">
        <f t="shared" si="23"/>
        <v>0.34886385335115522</v>
      </c>
      <c r="CD21" s="472">
        <f>AVERAGE(BX21:CA21)</f>
        <v>0.19342496552415361</v>
      </c>
      <c r="CF21" s="87">
        <f t="shared" si="24"/>
        <v>0.1188780053428317</v>
      </c>
      <c r="CG21" s="87">
        <f t="shared" si="24"/>
        <v>0.14724126673196214</v>
      </c>
      <c r="CH21" s="87">
        <f t="shared" si="24"/>
        <v>0.22021394319439322</v>
      </c>
      <c r="CI21" s="87">
        <f t="shared" si="24"/>
        <v>0.24632227163872733</v>
      </c>
      <c r="CJ21" s="87">
        <f t="shared" si="24"/>
        <v>0.11419870574800152</v>
      </c>
      <c r="CK21" s="87">
        <f t="shared" si="24"/>
        <v>0.23939127889961956</v>
      </c>
      <c r="CL21" s="87">
        <f t="shared" si="24"/>
        <v>0.339145987033311</v>
      </c>
      <c r="CM21" s="87">
        <f t="shared" si="24"/>
        <v>0.44242887149131183</v>
      </c>
      <c r="CO21" s="472">
        <f>AVERAGE(CI21:CL21)</f>
        <v>0.23476456082991484</v>
      </c>
      <c r="CW21" s="459">
        <f>RATE(3,,-N21,Q21)</f>
        <v>-0.99999974478297993</v>
      </c>
    </row>
    <row r="22" spans="3:101" ht="15" x14ac:dyDescent="0.25">
      <c r="C22" s="1" t="s">
        <v>468</v>
      </c>
      <c r="D22" s="19">
        <f>'TSM (JKS)'!C6</f>
        <v>45.94</v>
      </c>
      <c r="E22" s="64">
        <f>'TSM (JKS)'!L15</f>
        <v>50.12</v>
      </c>
      <c r="F22" s="64">
        <f>D22*E22</f>
        <v>2302.5128</v>
      </c>
      <c r="G22" s="64">
        <f>'TSM (JKS)'!L23</f>
        <v>7586.0828000000001</v>
      </c>
      <c r="H22" s="64"/>
      <c r="I22" s="64">
        <v>3785</v>
      </c>
      <c r="J22" s="64">
        <v>4305</v>
      </c>
      <c r="K22" s="64">
        <v>5090</v>
      </c>
      <c r="L22" s="64">
        <v>6330</v>
      </c>
      <c r="M22" s="64">
        <v>10875</v>
      </c>
      <c r="N22" s="64">
        <v>14125</v>
      </c>
      <c r="O22" s="64">
        <v>14906</v>
      </c>
      <c r="P22" s="64" t="e">
        <v>#N/A</v>
      </c>
      <c r="Q22" s="64"/>
      <c r="R22" s="64">
        <v>531</v>
      </c>
      <c r="S22" s="64">
        <v>786</v>
      </c>
      <c r="T22" s="64">
        <v>894</v>
      </c>
      <c r="U22" s="64">
        <v>1032</v>
      </c>
      <c r="V22" s="64">
        <v>1680</v>
      </c>
      <c r="W22" s="64">
        <v>2612</v>
      </c>
      <c r="X22" s="64">
        <v>2910</v>
      </c>
      <c r="Y22" s="64" t="e">
        <v>#N/A</v>
      </c>
      <c r="Z22" s="64"/>
      <c r="AA22" s="64">
        <v>222</v>
      </c>
      <c r="AB22" s="64">
        <v>389</v>
      </c>
      <c r="AC22" s="64">
        <v>466</v>
      </c>
      <c r="AD22" s="64">
        <v>485</v>
      </c>
      <c r="AE22" s="64">
        <v>428</v>
      </c>
      <c r="AF22" s="64">
        <v>986</v>
      </c>
      <c r="AG22" s="64">
        <v>1127</v>
      </c>
      <c r="AH22" s="64" t="e">
        <v>#N/A</v>
      </c>
      <c r="AI22" s="64"/>
      <c r="AJ22" s="64">
        <v>392</v>
      </c>
      <c r="AK22" s="64">
        <v>538</v>
      </c>
      <c r="AL22" s="64">
        <v>435</v>
      </c>
      <c r="AM22" s="64">
        <v>1043</v>
      </c>
      <c r="AN22" s="64">
        <v>2085</v>
      </c>
      <c r="AO22" s="64">
        <v>819</v>
      </c>
      <c r="AP22" s="64">
        <v>713</v>
      </c>
      <c r="AQ22" s="64" t="e">
        <v>#N/A</v>
      </c>
      <c r="AR22" s="64"/>
      <c r="AS22" s="64">
        <f t="shared" si="20"/>
        <v>-170</v>
      </c>
      <c r="AT22" s="64">
        <f t="shared" si="20"/>
        <v>-149</v>
      </c>
      <c r="AU22" s="64">
        <f t="shared" si="20"/>
        <v>31</v>
      </c>
      <c r="AV22" s="64">
        <f t="shared" si="20"/>
        <v>-558</v>
      </c>
      <c r="AW22" s="64">
        <f t="shared" si="20"/>
        <v>-1657</v>
      </c>
      <c r="AX22" s="64">
        <f t="shared" si="20"/>
        <v>167</v>
      </c>
      <c r="AY22" s="64">
        <f t="shared" si="20"/>
        <v>414</v>
      </c>
      <c r="AZ22" s="64" t="e">
        <f t="shared" si="20"/>
        <v>#N/A</v>
      </c>
      <c r="BB22" s="225">
        <f t="shared" si="21"/>
        <v>1.1984333017377566</v>
      </c>
      <c r="BC22" s="225">
        <f t="shared" si="21"/>
        <v>0.69757083218390803</v>
      </c>
      <c r="BD22" s="225">
        <f t="shared" si="21"/>
        <v>0.53706780884955752</v>
      </c>
      <c r="BE22" s="225">
        <f t="shared" si="21"/>
        <v>0.50892813632094458</v>
      </c>
      <c r="BF22" s="225" t="e">
        <f t="shared" si="21"/>
        <v>#N/A</v>
      </c>
      <c r="BH22" s="225">
        <f t="shared" si="22"/>
        <v>15.641407835051547</v>
      </c>
      <c r="BI22" s="225">
        <f t="shared" si="22"/>
        <v>17.724492523364486</v>
      </c>
      <c r="BJ22" s="225">
        <f t="shared" si="22"/>
        <v>7.6937959432048686</v>
      </c>
      <c r="BK22" s="225">
        <f t="shared" si="22"/>
        <v>6.7312181011535053</v>
      </c>
      <c r="BL22" s="225" t="e">
        <f t="shared" si="22"/>
        <v>#N/A</v>
      </c>
      <c r="BN22" s="64">
        <v>42</v>
      </c>
      <c r="BO22" s="64">
        <v>298</v>
      </c>
      <c r="BP22" s="64">
        <v>338</v>
      </c>
      <c r="BQ22" s="64" t="e">
        <v>#N/A</v>
      </c>
      <c r="BS22" s="459">
        <f>RATE(3,,-L22,O22)</f>
        <v>0.33041092423139312</v>
      </c>
      <c r="BU22" s="87">
        <f t="shared" si="23"/>
        <v>0.14029062087186261</v>
      </c>
      <c r="BV22" s="87">
        <f t="shared" si="23"/>
        <v>0.18257839721254354</v>
      </c>
      <c r="BW22" s="87">
        <f t="shared" si="23"/>
        <v>0.1756385068762279</v>
      </c>
      <c r="BX22" s="87">
        <f t="shared" si="23"/>
        <v>0.16303317535545023</v>
      </c>
      <c r="BY22" s="87">
        <f t="shared" si="23"/>
        <v>0.15448275862068966</v>
      </c>
      <c r="BZ22" s="87">
        <f t="shared" si="23"/>
        <v>0.18492035398230089</v>
      </c>
      <c r="CA22" s="87">
        <f t="shared" si="23"/>
        <v>0.19522339997316518</v>
      </c>
      <c r="CB22" s="87" t="e">
        <f t="shared" si="23"/>
        <v>#N/A</v>
      </c>
      <c r="CD22" s="472">
        <f>AVERAGE(BX22:CA22)</f>
        <v>0.17441492198290148</v>
      </c>
      <c r="CF22" s="87">
        <f t="shared" si="24"/>
        <v>5.8652575957727875E-2</v>
      </c>
      <c r="CG22" s="87">
        <f t="shared" si="24"/>
        <v>9.0360046457607437E-2</v>
      </c>
      <c r="CH22" s="87">
        <f t="shared" si="24"/>
        <v>9.1552062868369352E-2</v>
      </c>
      <c r="CI22" s="87">
        <f t="shared" si="24"/>
        <v>7.6619273301737761E-2</v>
      </c>
      <c r="CJ22" s="87">
        <f t="shared" si="24"/>
        <v>3.9356321839080458E-2</v>
      </c>
      <c r="CK22" s="87">
        <f t="shared" si="24"/>
        <v>6.9805309734513279E-2</v>
      </c>
      <c r="CL22" s="87">
        <f t="shared" si="24"/>
        <v>7.5607138065208634E-2</v>
      </c>
      <c r="CM22" s="87" t="e">
        <f t="shared" si="24"/>
        <v>#N/A</v>
      </c>
      <c r="CO22" s="472">
        <f>AVERAGE(CI22:CL22)</f>
        <v>6.5347010735135033E-2</v>
      </c>
      <c r="CW22" s="459">
        <f>RATE(3,,-N22,Q22)</f>
        <v>-0.99999974478297993</v>
      </c>
    </row>
    <row r="23" spans="3:101" ht="15" x14ac:dyDescent="0.25">
      <c r="C23" s="1" t="s">
        <v>596</v>
      </c>
      <c r="D23" s="19">
        <f>'TSM (MAXN)'!C6</f>
        <v>16.649999999999999</v>
      </c>
      <c r="E23" s="64">
        <f>'TSM (MAXN)'!L15</f>
        <v>45.112252000000005</v>
      </c>
      <c r="F23" s="64">
        <f>D23*E23</f>
        <v>751.11899579999999</v>
      </c>
      <c r="G23" s="64">
        <f>'TSM (MAXN)'!L23</f>
        <v>823.03799579999986</v>
      </c>
      <c r="H23" s="64"/>
      <c r="I23" s="64">
        <v>912</v>
      </c>
      <c r="J23" s="64">
        <v>1198</v>
      </c>
      <c r="K23" s="64">
        <v>845</v>
      </c>
      <c r="L23" s="64">
        <v>783</v>
      </c>
      <c r="M23" s="64">
        <v>1063</v>
      </c>
      <c r="N23" s="64">
        <v>1580</v>
      </c>
      <c r="O23" s="64">
        <v>1631</v>
      </c>
      <c r="P23" s="64" t="e">
        <v>#N/A</v>
      </c>
      <c r="Q23" s="64"/>
      <c r="R23" s="64">
        <v>-104</v>
      </c>
      <c r="S23" s="64">
        <v>-8</v>
      </c>
      <c r="T23" s="64">
        <v>-13</v>
      </c>
      <c r="U23" s="64">
        <v>-31</v>
      </c>
      <c r="V23" s="64">
        <v>-58</v>
      </c>
      <c r="W23" s="64">
        <v>140</v>
      </c>
      <c r="X23" s="64">
        <v>194</v>
      </c>
      <c r="Y23" s="64" t="e">
        <v>#N/A</v>
      </c>
      <c r="Z23" s="64"/>
      <c r="AA23" s="64">
        <v>-131</v>
      </c>
      <c r="AB23" s="64">
        <v>-81</v>
      </c>
      <c r="AC23" s="64">
        <v>-85</v>
      </c>
      <c r="AD23" s="64">
        <v>-122</v>
      </c>
      <c r="AE23" s="64">
        <v>-128</v>
      </c>
      <c r="AF23" s="64">
        <v>46</v>
      </c>
      <c r="AG23" s="64">
        <v>86</v>
      </c>
      <c r="AH23" s="64" t="e">
        <v>#N/A</v>
      </c>
      <c r="AI23" s="64"/>
      <c r="AJ23" s="64">
        <v>40</v>
      </c>
      <c r="AK23" s="64">
        <v>42</v>
      </c>
      <c r="AL23" s="64">
        <v>28</v>
      </c>
      <c r="AM23" s="64">
        <v>154</v>
      </c>
      <c r="AN23" s="64">
        <v>116</v>
      </c>
      <c r="AO23" s="64">
        <v>51</v>
      </c>
      <c r="AP23" s="64">
        <v>36</v>
      </c>
      <c r="AQ23" s="64" t="e">
        <v>#N/A</v>
      </c>
      <c r="AR23" s="64"/>
      <c r="AS23" s="64">
        <f t="shared" si="20"/>
        <v>-171</v>
      </c>
      <c r="AT23" s="64">
        <f t="shared" si="20"/>
        <v>-123</v>
      </c>
      <c r="AU23" s="64">
        <f t="shared" si="20"/>
        <v>-113</v>
      </c>
      <c r="AV23" s="64">
        <f t="shared" si="20"/>
        <v>-276</v>
      </c>
      <c r="AW23" s="64">
        <f t="shared" si="20"/>
        <v>-244</v>
      </c>
      <c r="AX23" s="64">
        <f t="shared" si="20"/>
        <v>-5</v>
      </c>
      <c r="AY23" s="64">
        <f t="shared" si="20"/>
        <v>50</v>
      </c>
      <c r="AZ23" s="64" t="e">
        <f t="shared" si="20"/>
        <v>#N/A</v>
      </c>
      <c r="BB23" s="225">
        <f t="shared" si="21"/>
        <v>1.0511340942528733</v>
      </c>
      <c r="BC23" s="225">
        <f t="shared" si="21"/>
        <v>0.77425963857008451</v>
      </c>
      <c r="BD23" s="225">
        <f t="shared" si="21"/>
        <v>0.52091012392405056</v>
      </c>
      <c r="BE23" s="225">
        <f t="shared" si="21"/>
        <v>0.50462170190067435</v>
      </c>
      <c r="BF23" s="225" t="e">
        <f t="shared" si="21"/>
        <v>#N/A</v>
      </c>
      <c r="BH23" s="225">
        <f t="shared" si="22"/>
        <v>-6.7462130803278679</v>
      </c>
      <c r="BI23" s="225">
        <f t="shared" si="22"/>
        <v>-6.4299843421874989</v>
      </c>
      <c r="BJ23" s="225">
        <f t="shared" si="22"/>
        <v>17.892130343478257</v>
      </c>
      <c r="BK23" s="225">
        <f t="shared" si="22"/>
        <v>9.57020925348837</v>
      </c>
      <c r="BL23" s="225" t="e">
        <f t="shared" si="22"/>
        <v>#N/A</v>
      </c>
      <c r="BN23" s="64">
        <v>-253</v>
      </c>
      <c r="BO23" s="64">
        <v>-75</v>
      </c>
      <c r="BP23" s="64">
        <v>-57</v>
      </c>
      <c r="BQ23" s="64" t="e">
        <v>#N/A</v>
      </c>
      <c r="BS23" s="459">
        <f>RATE(3,,-L23,O23)</f>
        <v>0.27711713840108321</v>
      </c>
      <c r="BU23" s="87">
        <f t="shared" si="23"/>
        <v>-0.11403508771929824</v>
      </c>
      <c r="BV23" s="87">
        <f t="shared" si="23"/>
        <v>-6.6777963272120202E-3</v>
      </c>
      <c r="BW23" s="87">
        <f t="shared" si="23"/>
        <v>-1.5384615384615385E-2</v>
      </c>
      <c r="BX23" s="87">
        <f t="shared" si="23"/>
        <v>-3.9591315453384422E-2</v>
      </c>
      <c r="BY23" s="87">
        <f t="shared" si="23"/>
        <v>-5.456255879586077E-2</v>
      </c>
      <c r="BZ23" s="87">
        <f t="shared" si="23"/>
        <v>8.8607594936708861E-2</v>
      </c>
      <c r="CA23" s="87">
        <f t="shared" si="23"/>
        <v>0.11894543225015328</v>
      </c>
      <c r="CB23" s="87" t="e">
        <f t="shared" si="23"/>
        <v>#N/A</v>
      </c>
      <c r="CD23" s="472">
        <f>AVERAGE(BX23:CA23)</f>
        <v>2.8349788234404236E-2</v>
      </c>
      <c r="CF23" s="87">
        <f t="shared" si="24"/>
        <v>-0.14364035087719298</v>
      </c>
      <c r="CG23" s="87">
        <f t="shared" si="24"/>
        <v>-6.7612687813021696E-2</v>
      </c>
      <c r="CH23" s="87">
        <f t="shared" si="24"/>
        <v>-0.10059171597633136</v>
      </c>
      <c r="CI23" s="87">
        <f t="shared" si="24"/>
        <v>-0.15581098339719029</v>
      </c>
      <c r="CJ23" s="87">
        <f t="shared" si="24"/>
        <v>-0.12041392285983067</v>
      </c>
      <c r="CK23" s="87">
        <f t="shared" si="24"/>
        <v>2.911392405063291E-2</v>
      </c>
      <c r="CL23" s="87">
        <f t="shared" si="24"/>
        <v>5.2728387492335993E-2</v>
      </c>
      <c r="CM23" s="87" t="e">
        <f t="shared" si="24"/>
        <v>#N/A</v>
      </c>
      <c r="CO23" s="472">
        <f>AVERAGE(CI23:CL23)</f>
        <v>-4.8595648678513015E-2</v>
      </c>
      <c r="CW23" s="459">
        <f>RATE(3,,-N23,Q23)</f>
        <v>-0.99999974478297993</v>
      </c>
    </row>
    <row r="24" spans="3:101" x14ac:dyDescent="0.2"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B24" s="225"/>
      <c r="BC24" s="225"/>
      <c r="BD24" s="225"/>
      <c r="BE24" s="225"/>
      <c r="BF24" s="225"/>
      <c r="BH24" s="225"/>
      <c r="BI24" s="225"/>
      <c r="BJ24" s="225"/>
      <c r="BK24" s="225"/>
      <c r="BL24" s="225"/>
      <c r="BN24" s="64"/>
      <c r="BO24" s="64"/>
      <c r="BP24" s="64"/>
      <c r="BQ24" s="64"/>
      <c r="BS24" s="64"/>
      <c r="BU24" s="64"/>
      <c r="BV24" s="64"/>
      <c r="BW24" s="64"/>
      <c r="BX24" s="64"/>
      <c r="BY24" s="64"/>
      <c r="BZ24" s="64"/>
      <c r="CA24" s="64"/>
      <c r="CB24" s="64"/>
      <c r="CD24" s="64"/>
      <c r="CF24" s="64"/>
      <c r="CG24" s="64"/>
      <c r="CH24" s="64"/>
      <c r="CI24" s="64"/>
      <c r="CJ24" s="64"/>
      <c r="CK24" s="64"/>
      <c r="CL24" s="64"/>
      <c r="CM24" s="64"/>
      <c r="CO24" s="64"/>
      <c r="CW24" s="64"/>
    </row>
    <row r="25" spans="3:101" ht="15" x14ac:dyDescent="0.25">
      <c r="C25" s="205" t="s">
        <v>472</v>
      </c>
      <c r="D25" s="205"/>
      <c r="E25" s="457"/>
      <c r="F25" s="457"/>
      <c r="G25" s="457"/>
      <c r="H25" s="457"/>
      <c r="I25" s="457"/>
      <c r="J25" s="457"/>
      <c r="K25" s="457"/>
      <c r="L25" s="457"/>
      <c r="M25" s="457"/>
      <c r="N25" s="457"/>
      <c r="O25" s="457"/>
      <c r="P25" s="457"/>
      <c r="Q25" s="457"/>
      <c r="R25" s="457"/>
      <c r="S25" s="457"/>
      <c r="T25" s="457"/>
      <c r="U25" s="457"/>
      <c r="V25" s="457"/>
      <c r="W25" s="457"/>
      <c r="X25" s="457"/>
      <c r="Y25" s="457"/>
      <c r="Z25" s="457"/>
      <c r="AA25" s="457"/>
      <c r="AB25" s="457"/>
      <c r="AC25" s="457"/>
      <c r="AD25" s="457"/>
      <c r="AE25" s="457"/>
      <c r="AF25" s="457"/>
      <c r="AG25" s="457"/>
      <c r="AH25" s="457"/>
      <c r="AI25" s="457"/>
      <c r="AJ25" s="457"/>
      <c r="AK25" s="457"/>
      <c r="AL25" s="457"/>
      <c r="AM25" s="457"/>
      <c r="AN25" s="457"/>
      <c r="AO25" s="457"/>
      <c r="AP25" s="457"/>
      <c r="AQ25" s="457"/>
      <c r="AR25" s="457"/>
      <c r="AS25" s="457"/>
      <c r="AT25" s="457"/>
      <c r="AU25" s="457"/>
      <c r="AV25" s="457"/>
      <c r="AW25" s="457"/>
      <c r="AX25" s="457"/>
      <c r="AY25" s="457"/>
      <c r="AZ25" s="457"/>
      <c r="BA25" s="205"/>
      <c r="BB25" s="458"/>
      <c r="BC25" s="458"/>
      <c r="BD25" s="458"/>
      <c r="BE25" s="458"/>
      <c r="BF25" s="458"/>
      <c r="BG25" s="205"/>
      <c r="BH25" s="458"/>
      <c r="BI25" s="458"/>
      <c r="BJ25" s="458"/>
      <c r="BK25" s="458"/>
      <c r="BL25" s="458"/>
      <c r="BM25" s="205"/>
      <c r="BN25" s="457"/>
      <c r="BO25" s="457"/>
      <c r="BP25" s="457"/>
      <c r="BQ25" s="457"/>
      <c r="BS25" s="457"/>
      <c r="BU25" s="457"/>
      <c r="BV25" s="457"/>
      <c r="BW25" s="457"/>
      <c r="BX25" s="457"/>
      <c r="BY25" s="457"/>
      <c r="BZ25" s="457"/>
      <c r="CA25" s="457"/>
      <c r="CB25" s="457"/>
      <c r="CD25" s="380"/>
      <c r="CF25" s="457"/>
      <c r="CG25" s="457"/>
      <c r="CH25" s="457"/>
      <c r="CI25" s="457"/>
      <c r="CJ25" s="457"/>
      <c r="CK25" s="457"/>
      <c r="CL25" s="457"/>
      <c r="CM25" s="457"/>
      <c r="CO25" s="380"/>
      <c r="CW25" s="457"/>
    </row>
    <row r="26" spans="3:101" ht="15" x14ac:dyDescent="0.25">
      <c r="C26" s="1" t="s">
        <v>473</v>
      </c>
      <c r="D26" s="19">
        <f>'TSM (APH)'!C6</f>
        <v>76.430000000000007</v>
      </c>
      <c r="E26" s="64">
        <f>'TSM (APH)'!L15</f>
        <v>623.04577754468141</v>
      </c>
      <c r="F26" s="64">
        <f>D26*E26</f>
        <v>47619.388777740001</v>
      </c>
      <c r="G26" s="64">
        <f>'TSM (APH)'!L23</f>
        <v>51198.588777739998</v>
      </c>
      <c r="H26" s="64"/>
      <c r="I26" s="64">
        <v>8202</v>
      </c>
      <c r="J26" s="64">
        <v>8225</v>
      </c>
      <c r="K26" s="64">
        <v>8599</v>
      </c>
      <c r="L26" s="64">
        <v>10876</v>
      </c>
      <c r="M26" s="64">
        <v>12484</v>
      </c>
      <c r="N26" s="64">
        <v>12726</v>
      </c>
      <c r="O26" s="64">
        <v>13825</v>
      </c>
      <c r="P26" s="64">
        <v>14178</v>
      </c>
      <c r="Q26" s="64"/>
      <c r="R26" s="64">
        <v>2655</v>
      </c>
      <c r="S26" s="64">
        <v>2616</v>
      </c>
      <c r="T26" s="64">
        <v>2664</v>
      </c>
      <c r="U26" s="64">
        <v>3402</v>
      </c>
      <c r="V26" s="64">
        <v>3973</v>
      </c>
      <c r="W26" s="64">
        <v>4073</v>
      </c>
      <c r="X26" s="64">
        <v>4477</v>
      </c>
      <c r="Y26" s="64">
        <v>4498</v>
      </c>
      <c r="Z26" s="64"/>
      <c r="AA26" s="64">
        <v>1995</v>
      </c>
      <c r="AB26" s="64">
        <v>1957</v>
      </c>
      <c r="AC26" s="64">
        <v>1958</v>
      </c>
      <c r="AD26" s="64">
        <v>2571</v>
      </c>
      <c r="AE26" s="64">
        <v>2963</v>
      </c>
      <c r="AF26" s="64">
        <v>3087</v>
      </c>
      <c r="AG26" s="64">
        <v>3338</v>
      </c>
      <c r="AH26" s="64">
        <v>3460</v>
      </c>
      <c r="AI26" s="64"/>
      <c r="AJ26" s="64">
        <v>311</v>
      </c>
      <c r="AK26" s="64">
        <v>295</v>
      </c>
      <c r="AL26" s="64">
        <v>274</v>
      </c>
      <c r="AM26" s="64">
        <v>359</v>
      </c>
      <c r="AN26" s="64">
        <v>381</v>
      </c>
      <c r="AO26" s="64">
        <v>416</v>
      </c>
      <c r="AP26" s="64">
        <v>473</v>
      </c>
      <c r="AQ26" s="64" t="e">
        <v>#N/A</v>
      </c>
      <c r="AR26" s="64"/>
      <c r="AS26" s="64">
        <f t="shared" ref="AS26:AZ28" si="25">AA26-AJ26</f>
        <v>1684</v>
      </c>
      <c r="AT26" s="64">
        <f t="shared" si="25"/>
        <v>1662</v>
      </c>
      <c r="AU26" s="64">
        <f t="shared" si="25"/>
        <v>1684</v>
      </c>
      <c r="AV26" s="64">
        <f t="shared" si="25"/>
        <v>2212</v>
      </c>
      <c r="AW26" s="64">
        <f t="shared" si="25"/>
        <v>2582</v>
      </c>
      <c r="AX26" s="64">
        <f t="shared" si="25"/>
        <v>2671</v>
      </c>
      <c r="AY26" s="64">
        <f t="shared" si="25"/>
        <v>2865</v>
      </c>
      <c r="AZ26" s="64" t="e">
        <f t="shared" si="25"/>
        <v>#N/A</v>
      </c>
      <c r="BB26" s="225">
        <f t="shared" ref="BB26:BF28" si="26">$G26/L26</f>
        <v>4.7074833374163294</v>
      </c>
      <c r="BC26" s="225">
        <f t="shared" si="26"/>
        <v>4.1011365570121754</v>
      </c>
      <c r="BD26" s="225">
        <f t="shared" si="26"/>
        <v>4.023148575965739</v>
      </c>
      <c r="BE26" s="225">
        <f t="shared" si="26"/>
        <v>3.7033337271421338</v>
      </c>
      <c r="BF26" s="225">
        <f t="shared" si="26"/>
        <v>3.6111291280674283</v>
      </c>
      <c r="BH26" s="225">
        <f t="shared" ref="BH26:BL28" si="27">$G26/AD26</f>
        <v>19.913881282668221</v>
      </c>
      <c r="BI26" s="225">
        <f t="shared" si="27"/>
        <v>17.279307721140736</v>
      </c>
      <c r="BJ26" s="225">
        <f t="shared" si="27"/>
        <v>16.585224741736312</v>
      </c>
      <c r="BK26" s="225">
        <f t="shared" si="27"/>
        <v>15.338103288717795</v>
      </c>
      <c r="BL26" s="225">
        <f t="shared" si="27"/>
        <v>14.797279993566473</v>
      </c>
      <c r="BN26" s="64">
        <v>1841</v>
      </c>
      <c r="BO26" s="64">
        <v>1878</v>
      </c>
      <c r="BP26" s="64">
        <v>2079</v>
      </c>
      <c r="BQ26" s="64">
        <v>2107</v>
      </c>
      <c r="BS26" s="459">
        <f>RATE(3,,-L26,O26)</f>
        <v>8.3258187857147156E-2</v>
      </c>
      <c r="BU26" s="87">
        <f t="shared" ref="BU26:CB28" si="28">R26/I26</f>
        <v>0.32370153621068032</v>
      </c>
      <c r="BV26" s="87">
        <f t="shared" si="28"/>
        <v>0.31805471124620061</v>
      </c>
      <c r="BW26" s="87">
        <f t="shared" si="28"/>
        <v>0.30980346551924642</v>
      </c>
      <c r="BX26" s="87">
        <f t="shared" si="28"/>
        <v>0.31279882309672674</v>
      </c>
      <c r="BY26" s="87">
        <f t="shared" si="28"/>
        <v>0.31824735661646908</v>
      </c>
      <c r="BZ26" s="87">
        <f t="shared" si="28"/>
        <v>0.32005343391482005</v>
      </c>
      <c r="CA26" s="87">
        <f t="shared" si="28"/>
        <v>0.32383363471971066</v>
      </c>
      <c r="CB26" s="87">
        <f t="shared" si="28"/>
        <v>0.31725208068839045</v>
      </c>
      <c r="CD26" s="472">
        <f>AVERAGE(BX26:CA26)</f>
        <v>0.31873331208693162</v>
      </c>
      <c r="CF26" s="87">
        <f t="shared" ref="CF26:CM28" si="29">AA26/I26</f>
        <v>0.24323335771762986</v>
      </c>
      <c r="CG26" s="87">
        <f t="shared" si="29"/>
        <v>0.23793313069908814</v>
      </c>
      <c r="CH26" s="87">
        <f t="shared" si="29"/>
        <v>0.22770089545295966</v>
      </c>
      <c r="CI26" s="87">
        <f t="shared" si="29"/>
        <v>0.23639205590290549</v>
      </c>
      <c r="CJ26" s="87">
        <f t="shared" si="29"/>
        <v>0.23734380006408201</v>
      </c>
      <c r="CK26" s="87">
        <f t="shared" si="29"/>
        <v>0.24257425742574257</v>
      </c>
      <c r="CL26" s="87">
        <f t="shared" si="29"/>
        <v>0.24144665461121156</v>
      </c>
      <c r="CM26" s="87">
        <f t="shared" si="29"/>
        <v>0.24404006206799267</v>
      </c>
      <c r="CO26" s="472">
        <f>AVERAGE(CI26:CL26)</f>
        <v>0.2394391920009854</v>
      </c>
      <c r="CW26" s="459">
        <f>RATE(3,,-N26,Q26)</f>
        <v>-0.99999974478297993</v>
      </c>
    </row>
    <row r="27" spans="3:101" ht="15" x14ac:dyDescent="0.25">
      <c r="C27" s="1" t="s">
        <v>475</v>
      </c>
      <c r="D27" s="19">
        <f>'TSM (ETN)'!C6</f>
        <v>150.28</v>
      </c>
      <c r="E27" s="64">
        <f>'TSM (ETN)'!L15</f>
        <v>401.38280542986428</v>
      </c>
      <c r="F27" s="64">
        <f>D27*E27</f>
        <v>60319.808000000005</v>
      </c>
      <c r="G27" s="64">
        <f>'TSM (ETN)'!L23</f>
        <v>69431.808000000005</v>
      </c>
      <c r="H27" s="64"/>
      <c r="I27" s="64">
        <v>21609</v>
      </c>
      <c r="J27" s="64">
        <v>21390</v>
      </c>
      <c r="K27" s="64">
        <v>17858</v>
      </c>
      <c r="L27" s="64">
        <v>19628</v>
      </c>
      <c r="M27" s="64">
        <v>20683</v>
      </c>
      <c r="N27" s="64">
        <v>21753</v>
      </c>
      <c r="O27" s="64">
        <v>22850</v>
      </c>
      <c r="P27" s="64">
        <v>24364</v>
      </c>
      <c r="Q27" s="64"/>
      <c r="R27" s="64">
        <v>7114</v>
      </c>
      <c r="S27" s="64">
        <v>7052</v>
      </c>
      <c r="T27" s="64">
        <v>5445</v>
      </c>
      <c r="U27" s="64">
        <v>6315</v>
      </c>
      <c r="V27" s="64">
        <v>7195</v>
      </c>
      <c r="W27" s="64">
        <v>7665</v>
      </c>
      <c r="X27" s="64">
        <v>8513</v>
      </c>
      <c r="Y27" s="64">
        <v>8868</v>
      </c>
      <c r="Z27" s="64"/>
      <c r="AA27" s="64">
        <v>3885</v>
      </c>
      <c r="AB27" s="64">
        <v>3945</v>
      </c>
      <c r="AC27" s="64">
        <v>3132</v>
      </c>
      <c r="AD27" s="64">
        <v>3792</v>
      </c>
      <c r="AE27" s="64">
        <v>4182</v>
      </c>
      <c r="AF27" s="64">
        <v>4629</v>
      </c>
      <c r="AG27" s="64">
        <v>4884</v>
      </c>
      <c r="AH27" s="64">
        <v>5228</v>
      </c>
      <c r="AI27" s="64"/>
      <c r="AJ27" s="64">
        <v>565</v>
      </c>
      <c r="AK27" s="64">
        <v>587</v>
      </c>
      <c r="AL27" s="64">
        <v>400</v>
      </c>
      <c r="AM27" s="64">
        <v>575</v>
      </c>
      <c r="AN27" s="64">
        <v>640</v>
      </c>
      <c r="AO27" s="64">
        <v>661</v>
      </c>
      <c r="AP27" s="64">
        <v>726</v>
      </c>
      <c r="AQ27" s="64">
        <v>800</v>
      </c>
      <c r="AR27" s="64"/>
      <c r="AS27" s="64">
        <f t="shared" si="25"/>
        <v>3320</v>
      </c>
      <c r="AT27" s="64">
        <f t="shared" si="25"/>
        <v>3358</v>
      </c>
      <c r="AU27" s="64">
        <f t="shared" si="25"/>
        <v>2732</v>
      </c>
      <c r="AV27" s="64">
        <f t="shared" si="25"/>
        <v>3217</v>
      </c>
      <c r="AW27" s="64">
        <f t="shared" si="25"/>
        <v>3542</v>
      </c>
      <c r="AX27" s="64">
        <f t="shared" si="25"/>
        <v>3968</v>
      </c>
      <c r="AY27" s="64">
        <f t="shared" si="25"/>
        <v>4158</v>
      </c>
      <c r="AZ27" s="64">
        <f t="shared" si="25"/>
        <v>4428</v>
      </c>
      <c r="BB27" s="225">
        <f t="shared" si="26"/>
        <v>3.5373857754228655</v>
      </c>
      <c r="BC27" s="225">
        <f t="shared" si="26"/>
        <v>3.3569505390900742</v>
      </c>
      <c r="BD27" s="225">
        <f t="shared" si="26"/>
        <v>3.1918267825127571</v>
      </c>
      <c r="BE27" s="225">
        <f t="shared" si="26"/>
        <v>3.0385911597374182</v>
      </c>
      <c r="BF27" s="225">
        <f t="shared" si="26"/>
        <v>2.8497704810375968</v>
      </c>
      <c r="BH27" s="225">
        <f t="shared" si="27"/>
        <v>18.310075949367089</v>
      </c>
      <c r="BI27" s="225">
        <f t="shared" si="27"/>
        <v>16.602536585365854</v>
      </c>
      <c r="BJ27" s="225">
        <f t="shared" si="27"/>
        <v>14.999310434219055</v>
      </c>
      <c r="BK27" s="225">
        <f t="shared" si="27"/>
        <v>14.216176904176905</v>
      </c>
      <c r="BL27" s="225">
        <f t="shared" si="27"/>
        <v>13.280758990053558</v>
      </c>
      <c r="BN27" s="64">
        <v>3029</v>
      </c>
      <c r="BO27" s="64">
        <v>3290</v>
      </c>
      <c r="BP27" s="64">
        <v>3464</v>
      </c>
      <c r="BQ27" s="64">
        <v>3651</v>
      </c>
      <c r="BS27" s="459">
        <f>RATE(3,,-L27,O27)</f>
        <v>5.1970073187891618E-2</v>
      </c>
      <c r="BU27" s="87">
        <f t="shared" si="28"/>
        <v>0.3292146790689065</v>
      </c>
      <c r="BV27" s="87">
        <f t="shared" si="28"/>
        <v>0.32968676951846659</v>
      </c>
      <c r="BW27" s="87">
        <f t="shared" si="28"/>
        <v>0.30490536454250194</v>
      </c>
      <c r="BX27" s="87">
        <f t="shared" si="28"/>
        <v>0.32173425718361526</v>
      </c>
      <c r="BY27" s="87">
        <f t="shared" si="28"/>
        <v>0.34787023159116182</v>
      </c>
      <c r="BZ27" s="87">
        <f t="shared" si="28"/>
        <v>0.35236519100813679</v>
      </c>
      <c r="CA27" s="87">
        <f t="shared" si="28"/>
        <v>0.37256017505470457</v>
      </c>
      <c r="CB27" s="87">
        <f t="shared" si="28"/>
        <v>0.36397964209489408</v>
      </c>
      <c r="CD27" s="472">
        <f>AVERAGE(BX27:CA27)</f>
        <v>0.34863246370940459</v>
      </c>
      <c r="CF27" s="87">
        <f t="shared" si="29"/>
        <v>0.17978620019436345</v>
      </c>
      <c r="CG27" s="87">
        <f t="shared" si="29"/>
        <v>0.1844319775596073</v>
      </c>
      <c r="CH27" s="87">
        <f t="shared" si="29"/>
        <v>0.17538358158808376</v>
      </c>
      <c r="CI27" s="87">
        <f t="shared" si="29"/>
        <v>0.19319339718769105</v>
      </c>
      <c r="CJ27" s="87">
        <f t="shared" si="29"/>
        <v>0.20219503940434172</v>
      </c>
      <c r="CK27" s="87">
        <f t="shared" si="29"/>
        <v>0.21279823472624465</v>
      </c>
      <c r="CL27" s="87">
        <f t="shared" si="29"/>
        <v>0.2137417943107221</v>
      </c>
      <c r="CM27" s="87">
        <f t="shared" si="29"/>
        <v>0.21457888688228535</v>
      </c>
      <c r="CO27" s="472">
        <f>AVERAGE(CI27:CL27)</f>
        <v>0.20548211640724989</v>
      </c>
      <c r="CW27" s="459">
        <f>RATE(3,,-N27,Q27)</f>
        <v>-0.99999974478297993</v>
      </c>
    </row>
    <row r="28" spans="3:101" ht="15" x14ac:dyDescent="0.25">
      <c r="C28" s="1" t="s">
        <v>474</v>
      </c>
      <c r="D28" s="19">
        <f>'TSM (TEL)'!C6</f>
        <v>122.65</v>
      </c>
      <c r="E28" s="64">
        <f>'TSM (TEL)'!L15</f>
        <v>322.8188286143498</v>
      </c>
      <c r="F28" s="64">
        <f>D28*E28</f>
        <v>39593.729329550006</v>
      </c>
      <c r="G28" s="64">
        <f>'TSM (TEL)'!L23</f>
        <v>43078.729329550006</v>
      </c>
      <c r="H28" s="64"/>
      <c r="I28" s="64">
        <v>13999</v>
      </c>
      <c r="J28" s="64">
        <v>13269</v>
      </c>
      <c r="K28" s="64">
        <v>12526</v>
      </c>
      <c r="L28" s="64">
        <v>15219</v>
      </c>
      <c r="M28" s="64">
        <v>16237</v>
      </c>
      <c r="N28" s="64">
        <v>16815</v>
      </c>
      <c r="O28" s="64">
        <v>17863</v>
      </c>
      <c r="P28" s="64" t="e">
        <v>#N/A</v>
      </c>
      <c r="Q28" s="64"/>
      <c r="R28" s="64">
        <v>4591</v>
      </c>
      <c r="S28" s="64">
        <v>4310</v>
      </c>
      <c r="T28" s="64">
        <v>3836</v>
      </c>
      <c r="U28" s="64">
        <v>4891</v>
      </c>
      <c r="V28" s="64">
        <v>5338</v>
      </c>
      <c r="W28" s="64">
        <v>5604</v>
      </c>
      <c r="X28" s="64">
        <v>5973</v>
      </c>
      <c r="Y28" s="64" t="e">
        <v>#N/A</v>
      </c>
      <c r="Z28" s="64"/>
      <c r="AA28" s="64">
        <v>3029</v>
      </c>
      <c r="AB28" s="64">
        <v>2867</v>
      </c>
      <c r="AC28" s="64">
        <v>2626</v>
      </c>
      <c r="AD28" s="64">
        <v>3434</v>
      </c>
      <c r="AE28" s="64">
        <v>3794</v>
      </c>
      <c r="AF28" s="64">
        <v>3955</v>
      </c>
      <c r="AG28" s="64">
        <v>4160</v>
      </c>
      <c r="AH28" s="64" t="e">
        <v>#N/A</v>
      </c>
      <c r="AI28" s="64"/>
      <c r="AJ28" s="64">
        <v>908</v>
      </c>
      <c r="AK28" s="64">
        <v>715</v>
      </c>
      <c r="AL28" s="64">
        <v>585</v>
      </c>
      <c r="AM28" s="64">
        <v>685</v>
      </c>
      <c r="AN28" s="64">
        <v>732</v>
      </c>
      <c r="AO28" s="64">
        <v>757</v>
      </c>
      <c r="AP28" s="64" t="e">
        <v>#N/A</v>
      </c>
      <c r="AQ28" s="64" t="e">
        <v>#N/A</v>
      </c>
      <c r="AR28" s="64"/>
      <c r="AS28" s="64">
        <f t="shared" si="25"/>
        <v>2121</v>
      </c>
      <c r="AT28" s="64">
        <f t="shared" si="25"/>
        <v>2152</v>
      </c>
      <c r="AU28" s="64">
        <f t="shared" si="25"/>
        <v>2041</v>
      </c>
      <c r="AV28" s="64">
        <f t="shared" si="25"/>
        <v>2749</v>
      </c>
      <c r="AW28" s="64">
        <f t="shared" si="25"/>
        <v>3062</v>
      </c>
      <c r="AX28" s="64">
        <f t="shared" si="25"/>
        <v>3198</v>
      </c>
      <c r="AY28" s="64" t="e">
        <f t="shared" si="25"/>
        <v>#N/A</v>
      </c>
      <c r="AZ28" s="64" t="e">
        <f t="shared" si="25"/>
        <v>#N/A</v>
      </c>
      <c r="BB28" s="225">
        <f t="shared" si="26"/>
        <v>2.8305886937085227</v>
      </c>
      <c r="BC28" s="225">
        <f t="shared" si="26"/>
        <v>2.6531212249522698</v>
      </c>
      <c r="BD28" s="225">
        <f t="shared" si="26"/>
        <v>2.5619226482039847</v>
      </c>
      <c r="BE28" s="225">
        <f t="shared" si="26"/>
        <v>2.4116178318059678</v>
      </c>
      <c r="BF28" s="225" t="e">
        <f t="shared" si="26"/>
        <v>#N/A</v>
      </c>
      <c r="BH28" s="225">
        <f t="shared" si="27"/>
        <v>12.544766840288295</v>
      </c>
      <c r="BI28" s="225">
        <f t="shared" si="27"/>
        <v>11.354435774789142</v>
      </c>
      <c r="BJ28" s="225">
        <f t="shared" si="27"/>
        <v>10.892219805195955</v>
      </c>
      <c r="BK28" s="225">
        <f t="shared" si="27"/>
        <v>10.355463781141829</v>
      </c>
      <c r="BL28" s="225" t="e">
        <f t="shared" si="27"/>
        <v>#N/A</v>
      </c>
      <c r="BN28" s="64">
        <v>2373</v>
      </c>
      <c r="BO28" s="64">
        <v>2477</v>
      </c>
      <c r="BP28" s="64">
        <v>2693</v>
      </c>
      <c r="BQ28" s="64" t="e">
        <v>#N/A</v>
      </c>
      <c r="BS28" s="459">
        <f>RATE(3,,-L28,O28)</f>
        <v>5.484689067246367E-2</v>
      </c>
      <c r="BU28" s="87">
        <f t="shared" si="28"/>
        <v>0.32795199657118368</v>
      </c>
      <c r="BV28" s="87">
        <f t="shared" si="28"/>
        <v>0.32481724319843241</v>
      </c>
      <c r="BW28" s="87">
        <f t="shared" si="28"/>
        <v>0.30624301452977803</v>
      </c>
      <c r="BX28" s="87">
        <f t="shared" si="28"/>
        <v>0.32137459754254549</v>
      </c>
      <c r="BY28" s="87">
        <f t="shared" si="28"/>
        <v>0.32875531194186119</v>
      </c>
      <c r="BZ28" s="87">
        <f t="shared" si="28"/>
        <v>0.33327386262265835</v>
      </c>
      <c r="CA28" s="87">
        <f t="shared" si="28"/>
        <v>0.33437832390975758</v>
      </c>
      <c r="CB28" s="87" t="e">
        <f t="shared" si="28"/>
        <v>#N/A</v>
      </c>
      <c r="CD28" s="472">
        <f>AVERAGE(BX28:CA28)</f>
        <v>0.32944552400420563</v>
      </c>
      <c r="CF28" s="87">
        <f t="shared" si="29"/>
        <v>0.21637259804271733</v>
      </c>
      <c r="CG28" s="87">
        <f t="shared" si="29"/>
        <v>0.21606752581204311</v>
      </c>
      <c r="CH28" s="87">
        <f t="shared" si="29"/>
        <v>0.20964394060354463</v>
      </c>
      <c r="CI28" s="87">
        <f t="shared" si="29"/>
        <v>0.22563900387673302</v>
      </c>
      <c r="CJ28" s="87">
        <f t="shared" si="29"/>
        <v>0.23366385416025129</v>
      </c>
      <c r="CK28" s="87">
        <f t="shared" si="29"/>
        <v>0.23520666071959559</v>
      </c>
      <c r="CL28" s="87">
        <f t="shared" si="29"/>
        <v>0.23288361417455075</v>
      </c>
      <c r="CM28" s="87" t="e">
        <f t="shared" si="29"/>
        <v>#N/A</v>
      </c>
      <c r="CO28" s="472">
        <f>AVERAGE(CI28:CL28)</f>
        <v>0.23184828323278267</v>
      </c>
      <c r="CW28" s="459">
        <f>RATE(3,,-N28,Q28)</f>
        <v>-0.99999974478297993</v>
      </c>
    </row>
    <row r="31" spans="3:101" x14ac:dyDescent="0.2">
      <c r="I31" s="64"/>
      <c r="J31" s="64"/>
      <c r="K31" s="64"/>
      <c r="L31" s="64"/>
      <c r="M31" s="64"/>
      <c r="N31" s="64"/>
      <c r="O31" s="64"/>
      <c r="P31" s="64"/>
    </row>
    <row r="33" spans="9:16" x14ac:dyDescent="0.2">
      <c r="I33" s="80"/>
      <c r="J33" s="80"/>
      <c r="K33" s="80"/>
      <c r="L33" s="80"/>
      <c r="M33" s="80"/>
      <c r="N33" s="80"/>
      <c r="O33" s="80"/>
      <c r="P33" s="80"/>
    </row>
  </sheetData>
  <sortState xmlns:xlrd2="http://schemas.microsoft.com/office/spreadsheetml/2017/richdata2" ref="C9:C11">
    <sortCondition ref="C9:C11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B3EC4-02E6-4ABE-8BF7-B6486375DC42}">
  <sheetPr>
    <tabColor theme="1"/>
  </sheetPr>
  <dimension ref="C3:L25"/>
  <sheetViews>
    <sheetView topLeftCell="A3" workbookViewId="0">
      <selection activeCell="L8" sqref="L8"/>
    </sheetView>
  </sheetViews>
  <sheetFormatPr defaultRowHeight="14.25" x14ac:dyDescent="0.2"/>
  <cols>
    <col min="1" max="2" width="9.140625" style="1"/>
    <col min="3" max="3" width="26.7109375" style="1" bestFit="1" customWidth="1"/>
    <col min="4" max="4" width="13.42578125" style="1" bestFit="1" customWidth="1"/>
    <col min="5" max="16384" width="9.140625" style="1"/>
  </cols>
  <sheetData>
    <row r="3" spans="3:12" ht="15" x14ac:dyDescent="0.25">
      <c r="C3" s="6" t="s">
        <v>614</v>
      </c>
      <c r="D3" s="6"/>
      <c r="E3" s="6"/>
      <c r="F3" s="6"/>
      <c r="G3" s="6"/>
      <c r="H3" s="6"/>
      <c r="I3" s="6"/>
      <c r="J3" s="6"/>
    </row>
    <row r="4" spans="3:12" ht="15" x14ac:dyDescent="0.25">
      <c r="C4" s="341"/>
      <c r="D4" s="488" t="s">
        <v>602</v>
      </c>
      <c r="E4" s="466" t="s">
        <v>29</v>
      </c>
      <c r="F4" s="466"/>
      <c r="G4" s="466"/>
      <c r="H4" s="466" t="s">
        <v>31</v>
      </c>
      <c r="I4" s="466"/>
      <c r="J4" s="466"/>
    </row>
    <row r="5" spans="3:12" ht="15" x14ac:dyDescent="0.25">
      <c r="C5" s="383" t="s">
        <v>601</v>
      </c>
      <c r="D5" s="489"/>
      <c r="E5" s="383">
        <v>2022</v>
      </c>
      <c r="F5" s="383">
        <v>2023</v>
      </c>
      <c r="G5" s="383" t="s">
        <v>551</v>
      </c>
      <c r="H5" s="383">
        <v>2022</v>
      </c>
      <c r="I5" s="383">
        <v>2023</v>
      </c>
      <c r="J5" s="383" t="s">
        <v>551</v>
      </c>
      <c r="L5" s="1" t="s">
        <v>6</v>
      </c>
    </row>
    <row r="7" spans="3:12" ht="32.25" customHeight="1" x14ac:dyDescent="0.2">
      <c r="C7" s="467" t="s">
        <v>603</v>
      </c>
      <c r="D7" s="467" t="s">
        <v>604</v>
      </c>
      <c r="E7" s="467">
        <v>315.3</v>
      </c>
      <c r="F7" s="467">
        <v>509.2</v>
      </c>
      <c r="G7" s="468">
        <f t="shared" ref="G7:G12" si="0">F7/E7-1</f>
        <v>0.61496986996511249</v>
      </c>
      <c r="H7" s="467">
        <v>84.3</v>
      </c>
      <c r="I7" s="467">
        <v>161.6</v>
      </c>
      <c r="J7" s="468">
        <f t="shared" ref="J7:J12" si="1">I7/H7-1</f>
        <v>0.91696322657176754</v>
      </c>
      <c r="L7" s="1">
        <v>30</v>
      </c>
    </row>
    <row r="8" spans="3:12" ht="32.25" customHeight="1" x14ac:dyDescent="0.2">
      <c r="C8" s="467" t="s">
        <v>605</v>
      </c>
      <c r="D8" s="467" t="s">
        <v>606</v>
      </c>
      <c r="E8" s="467">
        <v>304.10000000000002</v>
      </c>
      <c r="F8" s="467">
        <v>508.2</v>
      </c>
      <c r="G8" s="468">
        <f t="shared" si="0"/>
        <v>0.67116080236764208</v>
      </c>
      <c r="H8" s="467">
        <v>80.599999999999994</v>
      </c>
      <c r="I8" s="467">
        <v>166.3</v>
      </c>
      <c r="J8" s="468">
        <f t="shared" si="1"/>
        <v>1.0632754342431765</v>
      </c>
      <c r="L8" s="1">
        <v>28</v>
      </c>
    </row>
    <row r="9" spans="3:12" ht="32.25" customHeight="1" x14ac:dyDescent="0.2">
      <c r="C9" s="467" t="s">
        <v>607</v>
      </c>
      <c r="D9" s="467" t="s">
        <v>608</v>
      </c>
      <c r="E9" s="467">
        <v>301.5</v>
      </c>
      <c r="F9" s="467">
        <v>426.8</v>
      </c>
      <c r="G9" s="468">
        <f t="shared" si="0"/>
        <v>0.4155887230514097</v>
      </c>
      <c r="H9" s="467">
        <v>79.099999999999994</v>
      </c>
      <c r="I9" s="467">
        <v>118</v>
      </c>
      <c r="J9" s="468">
        <f t="shared" si="1"/>
        <v>0.49178255372945645</v>
      </c>
      <c r="L9" s="1">
        <v>40</v>
      </c>
    </row>
    <row r="10" spans="3:12" ht="32.25" customHeight="1" x14ac:dyDescent="0.2">
      <c r="C10" s="467" t="s">
        <v>609</v>
      </c>
      <c r="D10" s="467" t="s">
        <v>610</v>
      </c>
      <c r="E10" s="467">
        <v>302.39999999999998</v>
      </c>
      <c r="F10" s="467">
        <v>478.8</v>
      </c>
      <c r="G10" s="468">
        <f t="shared" si="0"/>
        <v>0.58333333333333348</v>
      </c>
      <c r="H10" s="467">
        <v>67.7</v>
      </c>
      <c r="I10" s="467">
        <v>136.5</v>
      </c>
      <c r="J10" s="468">
        <f t="shared" si="1"/>
        <v>1.016248153618907</v>
      </c>
      <c r="L10" s="1">
        <v>37.5</v>
      </c>
    </row>
    <row r="11" spans="3:12" ht="32.25" customHeight="1" x14ac:dyDescent="0.2">
      <c r="C11" s="467" t="s">
        <v>612</v>
      </c>
      <c r="D11" s="467" t="s">
        <v>611</v>
      </c>
      <c r="E11" s="467">
        <v>315.2</v>
      </c>
      <c r="F11" s="467">
        <v>520.4</v>
      </c>
      <c r="G11" s="468">
        <f t="shared" si="0"/>
        <v>0.65101522842639592</v>
      </c>
      <c r="H11" s="467">
        <v>82.6</v>
      </c>
      <c r="I11" s="467">
        <v>156.9</v>
      </c>
      <c r="J11" s="468">
        <f t="shared" si="1"/>
        <v>0.89951573849878952</v>
      </c>
      <c r="L11" s="1">
        <v>40</v>
      </c>
    </row>
    <row r="12" spans="3:12" ht="32.25" customHeight="1" x14ac:dyDescent="0.2">
      <c r="C12" s="469" t="s">
        <v>613</v>
      </c>
      <c r="D12" s="469"/>
      <c r="E12" s="469">
        <f>'Comparables Analysis'!M6</f>
        <v>313</v>
      </c>
      <c r="F12" s="469">
        <f>'Comparables Analysis'!N6</f>
        <v>502</v>
      </c>
      <c r="G12" s="470">
        <f t="shared" si="0"/>
        <v>0.60383386581469645</v>
      </c>
      <c r="H12" s="469">
        <f>'Comparables Analysis'!AE6</f>
        <v>83</v>
      </c>
      <c r="I12" s="469">
        <f>'Comparables Analysis'!AF6</f>
        <v>155</v>
      </c>
      <c r="J12" s="470">
        <f t="shared" si="1"/>
        <v>0.8674698795180722</v>
      </c>
    </row>
    <row r="13" spans="3:12" x14ac:dyDescent="0.2">
      <c r="D13" s="467"/>
      <c r="E13" s="467"/>
      <c r="F13" s="467"/>
      <c r="G13" s="467"/>
      <c r="H13" s="467"/>
      <c r="I13" s="467"/>
      <c r="J13" s="467"/>
    </row>
    <row r="18" spans="3:4" x14ac:dyDescent="0.2">
      <c r="C18" s="1" t="s">
        <v>601</v>
      </c>
      <c r="D18" s="1" t="s">
        <v>21</v>
      </c>
    </row>
    <row r="19" spans="3:4" x14ac:dyDescent="0.2">
      <c r="C19" s="1" t="s">
        <v>615</v>
      </c>
      <c r="D19" s="19">
        <f>'TSM (SHLS)'!C6</f>
        <v>22.21</v>
      </c>
    </row>
    <row r="21" spans="3:4" x14ac:dyDescent="0.2">
      <c r="C21" s="1" t="str">
        <f>C7</f>
        <v>Truist Securities</v>
      </c>
      <c r="D21" s="19">
        <f>L7</f>
        <v>30</v>
      </c>
    </row>
    <row r="22" spans="3:4" x14ac:dyDescent="0.2">
      <c r="C22" s="1" t="str">
        <f>C8</f>
        <v>Piper Sandler Companies</v>
      </c>
      <c r="D22" s="19">
        <f>L8</f>
        <v>28</v>
      </c>
    </row>
    <row r="23" spans="3:4" x14ac:dyDescent="0.2">
      <c r="C23" s="1" t="str">
        <f>C9</f>
        <v>Roth Capital Partners</v>
      </c>
      <c r="D23" s="19">
        <f>L9</f>
        <v>40</v>
      </c>
    </row>
    <row r="24" spans="3:4" x14ac:dyDescent="0.2">
      <c r="C24" s="1" t="str">
        <f>C10</f>
        <v>Cowen &amp; Company</v>
      </c>
      <c r="D24" s="19">
        <f>L10</f>
        <v>37.5</v>
      </c>
    </row>
    <row r="25" spans="3:4" x14ac:dyDescent="0.2">
      <c r="C25" s="1" t="str">
        <f>C11</f>
        <v>Oppenheimer</v>
      </c>
      <c r="D25" s="19">
        <f>L11</f>
        <v>40</v>
      </c>
    </row>
  </sheetData>
  <mergeCells count="1">
    <mergeCell ref="D4:D5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190B9-1373-4A48-8312-F3A7A2A3E587}">
  <sheetPr>
    <tabColor theme="1"/>
  </sheetPr>
  <dimension ref="A3:AS76"/>
  <sheetViews>
    <sheetView topLeftCell="A7" zoomScale="85" zoomScaleNormal="85" workbookViewId="0">
      <selection activeCell="B28" sqref="B28"/>
    </sheetView>
  </sheetViews>
  <sheetFormatPr defaultRowHeight="15" x14ac:dyDescent="0.25"/>
  <cols>
    <col min="2" max="2" width="35.140625" bestFit="1" customWidth="1"/>
    <col min="5" max="5" width="23" bestFit="1" customWidth="1"/>
    <col min="8" max="8" width="22.28515625" bestFit="1" customWidth="1"/>
    <col min="11" max="11" width="21.28515625" bestFit="1" customWidth="1"/>
  </cols>
  <sheetData>
    <row r="3" spans="1:45" x14ac:dyDescent="0.25">
      <c r="A3" s="1"/>
      <c r="B3" s="1"/>
      <c r="C3" s="1"/>
      <c r="D3" s="1"/>
      <c r="E3" s="1" t="s">
        <v>583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 t="s">
        <v>617</v>
      </c>
      <c r="V3" s="1"/>
      <c r="W3" s="1"/>
      <c r="X3" s="1"/>
      <c r="Y3" s="1"/>
      <c r="Z3" s="1"/>
      <c r="AA3" s="1"/>
      <c r="AB3" s="1"/>
      <c r="AC3" s="1" t="s">
        <v>617</v>
      </c>
      <c r="AD3" s="1"/>
      <c r="AE3" s="1"/>
      <c r="AF3" s="1"/>
      <c r="AG3" s="1"/>
      <c r="AH3" s="1"/>
      <c r="AK3" s="1"/>
      <c r="AL3" s="1"/>
      <c r="AM3" s="1"/>
      <c r="AN3" s="1" t="s">
        <v>617</v>
      </c>
      <c r="AO3" s="1"/>
      <c r="AP3" s="1"/>
      <c r="AQ3" s="1"/>
      <c r="AR3" s="1"/>
      <c r="AS3" s="1"/>
    </row>
    <row r="4" spans="1:45" x14ac:dyDescent="0.25">
      <c r="A4" s="1"/>
      <c r="B4" s="1"/>
      <c r="C4" s="1"/>
      <c r="D4" s="1"/>
      <c r="E4" s="1" t="s">
        <v>584</v>
      </c>
      <c r="F4" s="1"/>
      <c r="G4" s="1"/>
      <c r="H4" s="1"/>
      <c r="I4" s="1"/>
      <c r="J4" s="1"/>
      <c r="K4" s="1"/>
      <c r="L4" s="1"/>
      <c r="M4" s="1"/>
      <c r="N4" s="1"/>
      <c r="O4" s="1"/>
      <c r="P4" s="199"/>
      <c r="Q4" s="1"/>
      <c r="R4" s="1"/>
      <c r="S4" s="1"/>
      <c r="T4" s="1"/>
      <c r="U4" s="1" t="s">
        <v>618</v>
      </c>
      <c r="V4" s="1"/>
      <c r="W4" s="1"/>
      <c r="X4" s="1"/>
      <c r="Y4" s="1"/>
      <c r="Z4" s="1"/>
      <c r="AA4" s="1"/>
      <c r="AB4" s="1"/>
      <c r="AC4" s="1" t="s">
        <v>622</v>
      </c>
      <c r="AD4" s="1"/>
      <c r="AE4" s="1"/>
      <c r="AF4" s="1"/>
      <c r="AG4" s="1"/>
      <c r="AH4" s="1"/>
      <c r="AK4" s="1"/>
      <c r="AL4" s="1"/>
      <c r="AM4" s="1"/>
      <c r="AN4" s="1" t="s">
        <v>623</v>
      </c>
      <c r="AO4" s="1"/>
      <c r="AP4" s="1"/>
      <c r="AQ4" s="1"/>
      <c r="AR4" s="1"/>
      <c r="AS4" s="1"/>
    </row>
    <row r="5" spans="1:45" x14ac:dyDescent="0.25">
      <c r="A5" s="1"/>
      <c r="B5" s="1"/>
      <c r="C5" s="1"/>
      <c r="D5" s="1"/>
      <c r="E5" s="1"/>
      <c r="F5" s="1" t="s">
        <v>585</v>
      </c>
      <c r="G5" s="1"/>
      <c r="H5" s="1" t="s">
        <v>586</v>
      </c>
      <c r="I5" s="1"/>
      <c r="J5" s="1"/>
      <c r="K5" s="1">
        <v>2022</v>
      </c>
      <c r="L5" s="1">
        <v>2022</v>
      </c>
      <c r="M5" s="1">
        <v>2023</v>
      </c>
      <c r="N5" s="1">
        <v>2023</v>
      </c>
      <c r="O5" s="1"/>
      <c r="P5" s="199" t="s">
        <v>616</v>
      </c>
      <c r="Q5" s="1"/>
      <c r="R5" s="1"/>
      <c r="S5" s="1"/>
      <c r="T5" s="1"/>
      <c r="U5" s="1"/>
      <c r="V5" s="1" t="s">
        <v>548</v>
      </c>
      <c r="W5" s="1" t="s">
        <v>586</v>
      </c>
      <c r="X5" s="1" t="s">
        <v>548</v>
      </c>
      <c r="Y5" s="1" t="s">
        <v>618</v>
      </c>
      <c r="Z5" s="1"/>
      <c r="AC5" s="1"/>
      <c r="AD5" s="1" t="s">
        <v>620</v>
      </c>
      <c r="AE5" s="1" t="s">
        <v>586</v>
      </c>
      <c r="AF5" s="1" t="s">
        <v>620</v>
      </c>
      <c r="AG5" s="1" t="s">
        <v>622</v>
      </c>
      <c r="AH5" s="1"/>
      <c r="AK5" s="1"/>
      <c r="AL5" s="1"/>
      <c r="AM5" s="1"/>
      <c r="AN5" s="1"/>
      <c r="AO5" s="1" t="s">
        <v>588</v>
      </c>
      <c r="AP5" s="1" t="s">
        <v>586</v>
      </c>
      <c r="AQ5" s="1" t="s">
        <v>624</v>
      </c>
      <c r="AR5" s="1"/>
      <c r="AS5" s="1"/>
    </row>
    <row r="6" spans="1:45" x14ac:dyDescent="0.25">
      <c r="A6" s="1"/>
      <c r="B6" s="1" t="s">
        <v>581</v>
      </c>
      <c r="C6" s="1" t="s">
        <v>582</v>
      </c>
      <c r="D6" s="1"/>
      <c r="E6" s="1" t="s">
        <v>478</v>
      </c>
      <c r="F6" s="1">
        <v>2022</v>
      </c>
      <c r="G6" s="1">
        <v>2023</v>
      </c>
      <c r="H6" s="1"/>
      <c r="I6" s="1">
        <v>2022</v>
      </c>
      <c r="J6" s="1">
        <v>2023</v>
      </c>
      <c r="K6" s="1" t="s">
        <v>497</v>
      </c>
      <c r="L6" s="1" t="s">
        <v>498</v>
      </c>
      <c r="M6" s="1" t="s">
        <v>497</v>
      </c>
      <c r="N6" s="1" t="s">
        <v>498</v>
      </c>
      <c r="O6" s="1"/>
      <c r="P6" s="1"/>
      <c r="Q6" s="1"/>
      <c r="R6" s="1"/>
      <c r="S6" s="1"/>
      <c r="T6" s="1"/>
      <c r="U6" s="1" t="s">
        <v>478</v>
      </c>
      <c r="V6" s="199" t="s">
        <v>619</v>
      </c>
      <c r="W6" s="1"/>
      <c r="X6" s="199" t="s">
        <v>619</v>
      </c>
      <c r="Y6" s="1" t="s">
        <v>497</v>
      </c>
      <c r="Z6" s="1" t="s">
        <v>498</v>
      </c>
      <c r="AC6" s="1" t="s">
        <v>478</v>
      </c>
      <c r="AD6" s="199" t="s">
        <v>619</v>
      </c>
      <c r="AE6" s="1"/>
      <c r="AF6" s="199" t="s">
        <v>619</v>
      </c>
      <c r="AG6" s="1" t="s">
        <v>497</v>
      </c>
      <c r="AH6" s="1" t="s">
        <v>498</v>
      </c>
      <c r="AK6" s="1"/>
      <c r="AL6" s="199"/>
      <c r="AM6" s="1"/>
      <c r="AN6" s="1" t="s">
        <v>478</v>
      </c>
      <c r="AO6" s="199" t="s">
        <v>619</v>
      </c>
      <c r="AP6" s="1"/>
      <c r="AQ6" s="199" t="s">
        <v>619</v>
      </c>
      <c r="AR6" s="1" t="s">
        <v>497</v>
      </c>
      <c r="AS6" s="1" t="s">
        <v>498</v>
      </c>
    </row>
    <row r="7" spans="1:4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C7" s="1"/>
      <c r="AD7" s="1"/>
      <c r="AE7" s="1"/>
      <c r="AF7" s="1"/>
      <c r="AG7" s="1"/>
      <c r="AH7" s="1"/>
      <c r="AK7" s="1"/>
      <c r="AL7" s="1"/>
      <c r="AM7" s="1"/>
      <c r="AN7" s="1"/>
      <c r="AO7" s="1"/>
      <c r="AP7" s="1"/>
      <c r="AQ7" s="1"/>
      <c r="AR7" s="1"/>
      <c r="AS7" s="1"/>
    </row>
    <row r="8" spans="1:45" x14ac:dyDescent="0.25">
      <c r="A8" s="1"/>
      <c r="B8" s="1" t="str">
        <f>'Comparables Analysis'!C6</f>
        <v>Shoals</v>
      </c>
      <c r="C8" s="1">
        <v>1</v>
      </c>
      <c r="D8" s="1"/>
      <c r="E8" s="1" t="str">
        <f>B8</f>
        <v>Shoals</v>
      </c>
      <c r="F8" s="225">
        <f>INDEX('Comparables Analysis'!BI$6:BI$28,MATCH('Comps Charts'!$B8,'Comparables Analysis'!$C$6:$C$28,0))</f>
        <v>48.421788903253017</v>
      </c>
      <c r="G8" s="225">
        <f>INDEX('Comparables Analysis'!BJ$6:BJ$28,MATCH('Comps Charts'!$B8,'Comparables Analysis'!$C$6:$C$28,0))</f>
        <v>25.929086961096775</v>
      </c>
      <c r="H8" s="1" t="str">
        <f>B8</f>
        <v>Shoals</v>
      </c>
      <c r="I8" s="225">
        <f>F8</f>
        <v>48.421788903253017</v>
      </c>
      <c r="J8" s="225">
        <f>G8</f>
        <v>25.929086961096775</v>
      </c>
      <c r="K8" s="225"/>
      <c r="L8" s="225"/>
      <c r="M8" s="225"/>
      <c r="N8" s="225"/>
      <c r="O8" s="1"/>
      <c r="P8" s="1"/>
      <c r="Q8" s="225"/>
      <c r="R8" s="225"/>
      <c r="S8" s="1"/>
      <c r="T8" s="225"/>
      <c r="U8" s="1" t="str">
        <f>B8</f>
        <v>Shoals</v>
      </c>
      <c r="V8" s="87">
        <f>INDEX('Comparables Analysis'!BS$6:BS$28,MATCH('Comps Charts'!$B8,'Comparables Analysis'!$C$6:$C$28,0))</f>
        <v>0.48106969950003514</v>
      </c>
      <c r="W8" s="1" t="str">
        <f>U8</f>
        <v>Shoals</v>
      </c>
      <c r="X8" s="87">
        <f>V8</f>
        <v>0.48106969950003514</v>
      </c>
      <c r="Y8" s="87"/>
      <c r="Z8" s="87"/>
      <c r="AC8" s="1" t="str">
        <f>U8</f>
        <v>Shoals</v>
      </c>
      <c r="AD8" s="87">
        <f>INDEX('Comparables Analysis'!CD$6:CD$28,MATCH('Comps Charts'!$B8,'Comparables Analysis'!$C$6:$C$28,0))</f>
        <v>0.37490328880534873</v>
      </c>
      <c r="AE8" s="1" t="str">
        <f>AC8</f>
        <v>Shoals</v>
      </c>
      <c r="AF8" s="87">
        <f>AD8</f>
        <v>0.37490328880534873</v>
      </c>
      <c r="AG8" s="87"/>
      <c r="AH8" s="87"/>
      <c r="AK8" s="1"/>
      <c r="AL8" s="87"/>
      <c r="AM8" s="1"/>
      <c r="AN8" s="1" t="str">
        <f>AC8</f>
        <v>Shoals</v>
      </c>
      <c r="AO8" s="87">
        <f>INDEX('Comparables Analysis'!CO$6:CO$28,MATCH('Comps Charts'!$B8,'Comparables Analysis'!$C$6:$C$28,0))</f>
        <v>0.28517320243945754</v>
      </c>
      <c r="AP8" s="1" t="str">
        <f>AN8</f>
        <v>Shoals</v>
      </c>
      <c r="AQ8" s="87">
        <f>AO8</f>
        <v>0.28517320243945754</v>
      </c>
      <c r="AR8" s="87"/>
      <c r="AS8" s="87"/>
    </row>
    <row r="9" spans="1:4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87"/>
      <c r="W9" s="1"/>
      <c r="X9" s="87"/>
      <c r="Y9" s="87"/>
      <c r="Z9" s="87"/>
      <c r="AC9" s="1"/>
      <c r="AD9" s="87"/>
      <c r="AE9" s="1"/>
      <c r="AF9" s="87"/>
      <c r="AG9" s="87"/>
      <c r="AH9" s="87"/>
      <c r="AK9" s="1"/>
      <c r="AL9" s="87"/>
      <c r="AM9" s="1"/>
      <c r="AN9" s="1"/>
      <c r="AO9" s="87"/>
      <c r="AP9" s="1"/>
      <c r="AQ9" s="87"/>
      <c r="AR9" s="87"/>
      <c r="AS9" s="87"/>
    </row>
    <row r="10" spans="1:45" x14ac:dyDescent="0.25">
      <c r="A10" s="1"/>
      <c r="B10" s="1" t="str">
        <f>'Comparables Analysis'!C9</f>
        <v>Arctech</v>
      </c>
      <c r="C10" s="1">
        <v>1</v>
      </c>
      <c r="D10" s="1"/>
      <c r="E10" s="1" t="str">
        <f t="shared" ref="E10:E26" si="0">B10</f>
        <v>Arctech</v>
      </c>
      <c r="F10" s="225">
        <f>INDEX('Comparables Analysis'!BI$6:BI$28,MATCH('Comps Charts'!$B10,'Comparables Analysis'!$C$6:$C$28,0))</f>
        <v>81.410360000000011</v>
      </c>
      <c r="G10" s="225">
        <f>INDEX('Comparables Analysis'!BJ$6:BJ$28,MATCH('Comps Charts'!$B10,'Comparables Analysis'!$C$6:$C$28,0))</f>
        <v>28.665619718309863</v>
      </c>
      <c r="H10" s="1" t="str">
        <f>INDEX(E$10:E$12,MATCH(I10,F$10:F$12,0))</f>
        <v>Arctech</v>
      </c>
      <c r="I10" s="225">
        <f>LARGE(F$10:F$12,$C10)</f>
        <v>81.410360000000011</v>
      </c>
      <c r="J10" s="225">
        <f>INDEX($G$8:$G$26,MATCH($H10,$E$8:$E$26,0))</f>
        <v>28.665619718309863</v>
      </c>
      <c r="K10" s="225">
        <f>AVERAGE($I$10:$I$12)</f>
        <v>46.15711254506482</v>
      </c>
      <c r="L10" s="225">
        <f>MEDIAN($I$10:$I$12)</f>
        <v>30.370366524083337</v>
      </c>
      <c r="M10" s="225">
        <f>AVERAGE($J$10:$J$12)</f>
        <v>16.86478545908253</v>
      </c>
      <c r="N10" s="225">
        <f>MEDIAN($J$10:$J$12)</f>
        <v>13.34961165893773</v>
      </c>
      <c r="O10" s="1"/>
      <c r="P10" s="87">
        <f>$J$8/N10-1</f>
        <v>0.94231020523633968</v>
      </c>
      <c r="Q10" s="225"/>
      <c r="R10" s="225"/>
      <c r="S10" s="1"/>
      <c r="T10" s="225"/>
      <c r="U10" s="1" t="str">
        <f>B10</f>
        <v>Arctech</v>
      </c>
      <c r="V10" s="87">
        <f>INDEX('Comparables Analysis'!BS$6:BS$28,MATCH('Comps Charts'!$B10,'Comparables Analysis'!$C$6:$C$28,0))</f>
        <v>0.52781653605561196</v>
      </c>
      <c r="W10" s="1" t="str">
        <f>INDEX(U$10:U$12,MATCH(X10,V$10:V$12,0))</f>
        <v>Arctech</v>
      </c>
      <c r="X10" s="87">
        <f>LARGE(V$10:V$12,$C10)</f>
        <v>0.52781653605561196</v>
      </c>
      <c r="Y10" s="87">
        <f>AVERAGE($V$10:$V$12)</f>
        <v>0.37883639022711685</v>
      </c>
      <c r="Z10" s="87">
        <f>MEDIAN($V$10:$V$12)</f>
        <v>0.35858636346760531</v>
      </c>
      <c r="AC10" s="1" t="str">
        <f>U10</f>
        <v>Arctech</v>
      </c>
      <c r="AD10" s="87">
        <f>INDEX('Comparables Analysis'!CD$6:CD$28,MATCH('Comps Charts'!$B10,'Comparables Analysis'!$C$6:$C$28,0))</f>
        <v>0.1636084048070145</v>
      </c>
      <c r="AE10" s="1" t="str">
        <f>INDEX(AC$10:AC$12,MATCH(AF10,AD$10:AD$12,0))</f>
        <v>Soltec</v>
      </c>
      <c r="AF10" s="87">
        <f>LARGE(AD$10:AD$12,$C10)</f>
        <v>0.3524892759501832</v>
      </c>
      <c r="AG10" s="87">
        <f>AVERAGE($AD$10:$AD$12)</f>
        <v>0.22391708050854817</v>
      </c>
      <c r="AH10" s="87">
        <f>MEDIAN($AD$10:$AD$12)</f>
        <v>0.1636084048070145</v>
      </c>
      <c r="AK10" s="1"/>
      <c r="AL10" s="87"/>
      <c r="AM10" s="1"/>
      <c r="AN10" s="1" t="str">
        <f>AC10</f>
        <v>Arctech</v>
      </c>
      <c r="AO10" s="87">
        <f>INDEX('Comparables Analysis'!CO$6:CO$28,MATCH('Comps Charts'!$B10,'Comparables Analysis'!$C$6:$C$28,0))</f>
        <v>4.8202876607705697E-2</v>
      </c>
      <c r="AP10" s="1" t="str">
        <f>INDEX(AN$10:AN$12,MATCH(AQ10,AO$10:AO$12,0))</f>
        <v>Array</v>
      </c>
      <c r="AQ10" s="87">
        <f>LARGE(AO$10:AO$12,$C10)</f>
        <v>9.9475609544101867E-2</v>
      </c>
      <c r="AR10" s="87">
        <f>AVERAGE($AO$10:$AO$12)</f>
        <v>6.4473345846979335E-2</v>
      </c>
      <c r="AS10" s="87">
        <f>MEDIAN($AO$10:$AO$12)</f>
        <v>4.8202876607705697E-2</v>
      </c>
    </row>
    <row r="11" spans="1:45" x14ac:dyDescent="0.25">
      <c r="A11" s="1"/>
      <c r="B11" s="1" t="str">
        <f>'Comparables Analysis'!C10</f>
        <v>Array</v>
      </c>
      <c r="C11" s="1">
        <f>C10+1</f>
        <v>2</v>
      </c>
      <c r="D11" s="1"/>
      <c r="E11" s="1" t="str">
        <f t="shared" si="0"/>
        <v>Array</v>
      </c>
      <c r="F11" s="225">
        <f>INDEX('Comparables Analysis'!BI$6:BI$28,MATCH('Comps Charts'!$B11,'Comparables Analysis'!$C$6:$C$28,0))</f>
        <v>30.370366524083337</v>
      </c>
      <c r="G11" s="225">
        <f>INDEX('Comparables Analysis'!BJ$6:BJ$28,MATCH('Comps Charts'!$B11,'Comparables Analysis'!$C$6:$C$28,0))</f>
        <v>13.34961165893773</v>
      </c>
      <c r="H11" s="1" t="str">
        <f>INDEX(E$10:E$12,MATCH(I11,F$10:F$12,0))</f>
        <v>Array</v>
      </c>
      <c r="I11" s="225">
        <f>LARGE(F$10:F$12,$C11)</f>
        <v>30.370366524083337</v>
      </c>
      <c r="J11" s="225">
        <f t="shared" ref="J11:J26" si="1">INDEX($G$8:$G$26,MATCH($H11,$E$8:$E$26,0))</f>
        <v>13.34961165893773</v>
      </c>
      <c r="K11" s="225">
        <f>AVERAGE($I$10:$I$12)</f>
        <v>46.15711254506482</v>
      </c>
      <c r="L11" s="225">
        <f>MEDIAN($I$10:$I$12)</f>
        <v>30.370366524083337</v>
      </c>
      <c r="M11" s="225">
        <f>AVERAGE($J$10:$J$12)</f>
        <v>16.86478545908253</v>
      </c>
      <c r="N11" s="225">
        <f>MEDIAN($J$10:$J$12)</f>
        <v>13.34961165893773</v>
      </c>
      <c r="O11" s="1"/>
      <c r="P11" s="1"/>
      <c r="Q11" s="225"/>
      <c r="R11" s="225"/>
      <c r="S11" s="1"/>
      <c r="T11" s="225"/>
      <c r="U11" s="1" t="str">
        <f>B11</f>
        <v>Array</v>
      </c>
      <c r="V11" s="87">
        <f>INDEX('Comparables Analysis'!BS$6:BS$28,MATCH('Comps Charts'!$B11,'Comparables Analysis'!$C$6:$C$28,0))</f>
        <v>0.35858636346760531</v>
      </c>
      <c r="W11" s="1" t="str">
        <f>INDEX(U$10:U$12,MATCH(X11,V$10:V$12,0))</f>
        <v>Array</v>
      </c>
      <c r="X11" s="87">
        <f>LARGE(V$10:V$12,$C11)</f>
        <v>0.35858636346760531</v>
      </c>
      <c r="Y11" s="87">
        <f>AVERAGE($V$10:$V$12)</f>
        <v>0.37883639022711685</v>
      </c>
      <c r="Z11" s="87">
        <f>MEDIAN($V$10:$V$12)</f>
        <v>0.35858636346760531</v>
      </c>
      <c r="AC11" s="1" t="str">
        <f>U11</f>
        <v>Array</v>
      </c>
      <c r="AD11" s="87">
        <f>INDEX('Comparables Analysis'!CD$6:CD$28,MATCH('Comps Charts'!$B11,'Comparables Analysis'!$C$6:$C$28,0))</f>
        <v>0.15565356076844675</v>
      </c>
      <c r="AE11" s="1" t="str">
        <f>INDEX(AC$10:AC$12,MATCH(AF11,AD$10:AD$12,0))</f>
        <v>Arctech</v>
      </c>
      <c r="AF11" s="87">
        <f>LARGE(AD$10:AD$12,$C11)</f>
        <v>0.1636084048070145</v>
      </c>
      <c r="AG11" s="87">
        <f>AVERAGE($AD$10:$AD$12)</f>
        <v>0.22391708050854817</v>
      </c>
      <c r="AH11" s="87">
        <f>MEDIAN($AD$10:$AD$12)</f>
        <v>0.1636084048070145</v>
      </c>
      <c r="AK11" s="1"/>
      <c r="AL11" s="87"/>
      <c r="AM11" s="1"/>
      <c r="AN11" s="1" t="str">
        <f>AC11</f>
        <v>Array</v>
      </c>
      <c r="AO11" s="87">
        <f>INDEX('Comparables Analysis'!CO$6:CO$28,MATCH('Comps Charts'!$B11,'Comparables Analysis'!$C$6:$C$28,0))</f>
        <v>9.9475609544101867E-2</v>
      </c>
      <c r="AP11" s="1" t="str">
        <f>INDEX(AN$10:AN$12,MATCH(AQ11,AO$10:AO$12,0))</f>
        <v>Arctech</v>
      </c>
      <c r="AQ11" s="87">
        <f>LARGE(AO$10:AO$12,$C11)</f>
        <v>4.8202876607705697E-2</v>
      </c>
      <c r="AR11" s="87">
        <f>AVERAGE($AO$10:$AO$12)</f>
        <v>6.4473345846979335E-2</v>
      </c>
      <c r="AS11" s="87">
        <f>MEDIAN($AO$10:$AO$12)</f>
        <v>4.8202876607705697E-2</v>
      </c>
    </row>
    <row r="12" spans="1:45" x14ac:dyDescent="0.25">
      <c r="A12" s="1"/>
      <c r="B12" s="1" t="str">
        <f>'Comparables Analysis'!C11</f>
        <v>Soltec</v>
      </c>
      <c r="C12" s="1">
        <f>C11+1</f>
        <v>3</v>
      </c>
      <c r="D12" s="1"/>
      <c r="E12" s="1" t="str">
        <f t="shared" si="0"/>
        <v>Soltec</v>
      </c>
      <c r="F12" s="225">
        <f>INDEX('Comparables Analysis'!BI$6:BI$28,MATCH('Comps Charts'!$B12,'Comparables Analysis'!$C$6:$C$28,0))</f>
        <v>26.690611111111107</v>
      </c>
      <c r="G12" s="225">
        <f>INDEX('Comparables Analysis'!BJ$6:BJ$28,MATCH('Comps Charts'!$B12,'Comparables Analysis'!$C$6:$C$28,0))</f>
        <v>8.5791249999999994</v>
      </c>
      <c r="H12" s="1" t="str">
        <f>INDEX(E$10:E$12,MATCH(I12,F$10:F$12,0))</f>
        <v>Soltec</v>
      </c>
      <c r="I12" s="225">
        <f>LARGE(F$10:F$12,$C12)</f>
        <v>26.690611111111107</v>
      </c>
      <c r="J12" s="225">
        <f t="shared" si="1"/>
        <v>8.5791249999999994</v>
      </c>
      <c r="K12" s="225">
        <f>AVERAGE($I$10:$I$12)</f>
        <v>46.15711254506482</v>
      </c>
      <c r="L12" s="225">
        <f>MEDIAN($I$10:$I$12)</f>
        <v>30.370366524083337</v>
      </c>
      <c r="M12" s="225">
        <f>AVERAGE($J$10:$J$12)</f>
        <v>16.86478545908253</v>
      </c>
      <c r="N12" s="225">
        <f>MEDIAN($J$10:$J$12)</f>
        <v>13.34961165893773</v>
      </c>
      <c r="O12" s="1"/>
      <c r="P12" s="1"/>
      <c r="Q12" s="225"/>
      <c r="R12" s="225"/>
      <c r="S12" s="1"/>
      <c r="T12" s="225"/>
      <c r="U12" s="1" t="str">
        <f>B12</f>
        <v>Soltec</v>
      </c>
      <c r="V12" s="87">
        <f>INDEX('Comparables Analysis'!BS$6:BS$28,MATCH('Comps Charts'!$B12,'Comparables Analysis'!$C$6:$C$28,0))</f>
        <v>0.25010627115813339</v>
      </c>
      <c r="W12" s="1" t="str">
        <f>INDEX(U$10:U$12,MATCH(X12,V$10:V$12,0))</f>
        <v>Soltec</v>
      </c>
      <c r="X12" s="87">
        <f>LARGE(V$10:V$12,$C12)</f>
        <v>0.25010627115813339</v>
      </c>
      <c r="Y12" s="87">
        <f>AVERAGE($V$10:$V$12)</f>
        <v>0.37883639022711685</v>
      </c>
      <c r="Z12" s="87">
        <f>MEDIAN($V$10:$V$12)</f>
        <v>0.35858636346760531</v>
      </c>
      <c r="AC12" s="1" t="str">
        <f>U12</f>
        <v>Soltec</v>
      </c>
      <c r="AD12" s="87">
        <f>INDEX('Comparables Analysis'!CD$6:CD$28,MATCH('Comps Charts'!$B12,'Comparables Analysis'!$C$6:$C$28,0))</f>
        <v>0.3524892759501832</v>
      </c>
      <c r="AE12" s="1" t="str">
        <f>INDEX(AC$10:AC$12,MATCH(AF12,AD$10:AD$12,0))</f>
        <v>Array</v>
      </c>
      <c r="AF12" s="87">
        <f>LARGE(AD$10:AD$12,$C12)</f>
        <v>0.15565356076844675</v>
      </c>
      <c r="AG12" s="87">
        <f>AVERAGE($AD$10:$AD$12)</f>
        <v>0.22391708050854817</v>
      </c>
      <c r="AH12" s="87">
        <f>MEDIAN($AD$10:$AD$12)</f>
        <v>0.1636084048070145</v>
      </c>
      <c r="AK12" s="1"/>
      <c r="AL12" s="87"/>
      <c r="AM12" s="1"/>
      <c r="AN12" s="1" t="str">
        <f>AC12</f>
        <v>Soltec</v>
      </c>
      <c r="AO12" s="87">
        <f>INDEX('Comparables Analysis'!CO$6:CO$28,MATCH('Comps Charts'!$B12,'Comparables Analysis'!$C$6:$C$28,0))</f>
        <v>4.5741551389130441E-2</v>
      </c>
      <c r="AP12" s="1" t="str">
        <f>INDEX(AN$10:AN$12,MATCH(AQ12,AO$10:AO$12,0))</f>
        <v>Soltec</v>
      </c>
      <c r="AQ12" s="87">
        <f>LARGE(AO$10:AO$12,$C12)</f>
        <v>4.5741551389130441E-2</v>
      </c>
      <c r="AR12" s="87">
        <f>AVERAGE($AO$10:$AO$12)</f>
        <v>6.4473345846979335E-2</v>
      </c>
      <c r="AS12" s="87">
        <f>MEDIAN($AO$10:$AO$12)</f>
        <v>4.8202876607705697E-2</v>
      </c>
    </row>
    <row r="13" spans="1:4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87"/>
      <c r="W13" s="1"/>
      <c r="X13" s="87"/>
      <c r="Y13" s="87"/>
      <c r="Z13" s="87"/>
      <c r="AC13" s="1"/>
      <c r="AD13" s="87"/>
      <c r="AE13" s="1"/>
      <c r="AF13" s="87"/>
      <c r="AG13" s="87"/>
      <c r="AH13" s="87"/>
      <c r="AK13" s="1"/>
      <c r="AL13" s="87"/>
      <c r="AM13" s="1"/>
      <c r="AN13" s="1"/>
      <c r="AO13" s="87"/>
      <c r="AP13" s="1"/>
      <c r="AQ13" s="87"/>
      <c r="AR13" s="87"/>
      <c r="AS13" s="87"/>
    </row>
    <row r="14" spans="1:45" x14ac:dyDescent="0.25">
      <c r="A14" s="1"/>
      <c r="B14" s="1" t="str">
        <f>'Comparables Analysis'!C14</f>
        <v>Enphase</v>
      </c>
      <c r="C14" s="1">
        <v>1</v>
      </c>
      <c r="D14" s="1"/>
      <c r="E14" s="1" t="str">
        <f t="shared" si="0"/>
        <v>Enphase</v>
      </c>
      <c r="F14" s="225">
        <f>INDEX('Comparables Analysis'!BI$6:BI$28,MATCH('Comps Charts'!$B14,'Comparables Analysis'!$C$6:$C$28,0))</f>
        <v>60.717658652614176</v>
      </c>
      <c r="G14" s="225">
        <f>INDEX('Comparables Analysis'!BJ$6:BJ$28,MATCH('Comps Charts'!$B14,'Comparables Analysis'!$C$6:$C$28,0))</f>
        <v>44.782422512457131</v>
      </c>
      <c r="H14" s="1" t="str">
        <f>INDEX(E$14:E$17,MATCH(I14,F$14:F$17,0))</f>
        <v>Enphase</v>
      </c>
      <c r="I14" s="225">
        <f>LARGE(F$14:F$17,$C14)</f>
        <v>60.717658652614176</v>
      </c>
      <c r="J14" s="225">
        <f t="shared" si="1"/>
        <v>44.782422512457131</v>
      </c>
      <c r="K14" s="225">
        <f>AVERAGE($I$14:$I$17)</f>
        <v>31.655685962255955</v>
      </c>
      <c r="L14" s="225">
        <f>MEDIAN($I$14:$I$17)</f>
        <v>28.140458298480731</v>
      </c>
      <c r="M14" s="225">
        <f>AVERAGE($J$14:$J$17)</f>
        <v>22.106408532445457</v>
      </c>
      <c r="N14" s="225">
        <f>MEDIAN($J$14:$J$17)</f>
        <v>17.181941467560286</v>
      </c>
      <c r="O14" s="1"/>
      <c r="P14" s="87">
        <f>$J$8/N14-1</f>
        <v>0.50908947106188251</v>
      </c>
      <c r="Q14" s="225"/>
      <c r="R14" s="225"/>
      <c r="S14" s="1"/>
      <c r="T14" s="225"/>
      <c r="U14" s="1" t="str">
        <f>B14</f>
        <v>Enphase</v>
      </c>
      <c r="V14" s="87">
        <f>INDEX('Comparables Analysis'!BS$6:BS$28,MATCH('Comps Charts'!$B14,'Comparables Analysis'!$C$6:$C$28,0))</f>
        <v>0.41326185036665597</v>
      </c>
      <c r="W14" s="1" t="str">
        <f>INDEX(U$14:U$17,MATCH(X14,V$14:V$17,0))</f>
        <v>Enphase</v>
      </c>
      <c r="X14" s="87">
        <f>LARGE(V$14:V$17,$C14)</f>
        <v>0.41326185036665597</v>
      </c>
      <c r="Y14" s="87">
        <f>AVERAGE($V$14:$V$17)</f>
        <v>0.24445879821136901</v>
      </c>
      <c r="Z14" s="87">
        <f>MEDIAN($V$14:$V$17)</f>
        <v>0.23405128062088937</v>
      </c>
      <c r="AC14" s="1" t="str">
        <f>U14</f>
        <v>Enphase</v>
      </c>
      <c r="AD14" s="87">
        <f>INDEX('Comparables Analysis'!CD$6:CD$28,MATCH('Comps Charts'!$B14,'Comparables Analysis'!$C$6:$C$28,0))</f>
        <v>0.4087888082572253</v>
      </c>
      <c r="AE14" s="1" t="str">
        <f>INDEX(AC$14:AC$17,MATCH(AF14,AD$14:AD$17,0))</f>
        <v>Enphase</v>
      </c>
      <c r="AF14" s="87">
        <f>LARGE(AD$14:AD$17,$C14)</f>
        <v>0.4087888082572253</v>
      </c>
      <c r="AG14" s="87">
        <f>AVERAGE($AD$14:$AD$17)</f>
        <v>0.31233564370140293</v>
      </c>
      <c r="AH14" s="87">
        <f>MEDIAN($AD$14:$AD$17)</f>
        <v>0.32304600807717865</v>
      </c>
      <c r="AK14" s="1"/>
      <c r="AL14" s="87"/>
      <c r="AM14" s="1"/>
      <c r="AN14" s="1" t="str">
        <f>AC14</f>
        <v>Enphase</v>
      </c>
      <c r="AO14" s="87">
        <f>INDEX('Comparables Analysis'!CO$6:CO$28,MATCH('Comps Charts'!$B14,'Comparables Analysis'!$C$6:$C$28,0))</f>
        <v>0.27304615420166256</v>
      </c>
      <c r="AP14" s="1" t="str">
        <f>INDEX(AN$14:AN$17,MATCH(AQ14,AO$14:AO$17,0))</f>
        <v>Enphase</v>
      </c>
      <c r="AQ14" s="87">
        <f>LARGE(AO$14:AO$17,$C14)</f>
        <v>0.27304615420166256</v>
      </c>
      <c r="AR14" s="87">
        <f>AVERAGE($AO$14:$AO$17)</f>
        <v>0.17566866249999669</v>
      </c>
      <c r="AS14" s="87">
        <f>MEDIAN($AO$14:$AO$17)</f>
        <v>0.18199190896714734</v>
      </c>
    </row>
    <row r="15" spans="1:45" x14ac:dyDescent="0.25">
      <c r="A15" s="1"/>
      <c r="B15" s="1" t="str">
        <f>'Comparables Analysis'!C15</f>
        <v>Generac</v>
      </c>
      <c r="C15" s="1">
        <f>C14+1</f>
        <v>2</v>
      </c>
      <c r="D15" s="1"/>
      <c r="E15" s="1" t="str">
        <f t="shared" si="0"/>
        <v>Generac</v>
      </c>
      <c r="F15" s="225">
        <f>INDEX('Comparables Analysis'!BI$6:BI$28,MATCH('Comps Charts'!$B15,'Comparables Analysis'!$C$6:$C$28,0))</f>
        <v>9.6241685994481987</v>
      </c>
      <c r="G15" s="225">
        <f>INDEX('Comparables Analysis'!BJ$6:BJ$28,MATCH('Comps Charts'!$B15,'Comparables Analysis'!$C$6:$C$28,0))</f>
        <v>9.2793286822041257</v>
      </c>
      <c r="H15" s="1" t="str">
        <f>INDEX(E$14:E$17,MATCH(I15,F$14:F$17,0))</f>
        <v>SMA</v>
      </c>
      <c r="I15" s="225">
        <f>LARGE(F$14:F$17,$C15)</f>
        <v>28.254607142857147</v>
      </c>
      <c r="J15" s="225">
        <f t="shared" si="1"/>
        <v>16.832531914893618</v>
      </c>
      <c r="K15" s="225">
        <f>AVERAGE($I$14:$I$17)</f>
        <v>31.655685962255955</v>
      </c>
      <c r="L15" s="225">
        <f>MEDIAN($I$14:$I$17)</f>
        <v>28.140458298480731</v>
      </c>
      <c r="M15" s="225">
        <f>AVERAGE($J$14:$J$17)</f>
        <v>22.106408532445457</v>
      </c>
      <c r="N15" s="225">
        <f>MEDIAN($J$14:$J$17)</f>
        <v>17.181941467560286</v>
      </c>
      <c r="O15" s="1"/>
      <c r="P15" s="1"/>
      <c r="Q15" s="225"/>
      <c r="R15" s="225"/>
      <c r="S15" s="1"/>
      <c r="T15" s="225"/>
      <c r="U15" s="1" t="str">
        <f>B15</f>
        <v>Generac</v>
      </c>
      <c r="V15" s="87">
        <f>INDEX('Comparables Analysis'!BS$6:BS$28,MATCH('Comps Charts'!$B15,'Comparables Analysis'!$C$6:$C$28,0))</f>
        <v>9.6470781237041378E-2</v>
      </c>
      <c r="W15" s="1" t="str">
        <f>INDEX(U$14:U$17,MATCH(X15,V$14:V$17,0))</f>
        <v>SolarEdge</v>
      </c>
      <c r="X15" s="87">
        <f>LARGE(V$14:V$17,$C15)</f>
        <v>0.3457797257483185</v>
      </c>
      <c r="Y15" s="87">
        <f>AVERAGE($V$14:$V$17)</f>
        <v>0.24445879821136901</v>
      </c>
      <c r="Z15" s="87">
        <f>MEDIAN($V$14:$V$17)</f>
        <v>0.23405128062088937</v>
      </c>
      <c r="AC15" s="1" t="str">
        <f>U15</f>
        <v>Generac</v>
      </c>
      <c r="AD15" s="87">
        <f>INDEX('Comparables Analysis'!CD$6:CD$28,MATCH('Comps Charts'!$B15,'Comparables Analysis'!$C$6:$C$28,0))</f>
        <v>0.34512881627722802</v>
      </c>
      <c r="AE15" s="1" t="str">
        <f>INDEX(AC$14:AC$17,MATCH(AF15,AD$14:AD$17,0))</f>
        <v>Generac</v>
      </c>
      <c r="AF15" s="87">
        <f>LARGE(AD$14:AD$17,$C15)</f>
        <v>0.34512881627722802</v>
      </c>
      <c r="AG15" s="87">
        <f>AVERAGE($AD$14:$AD$17)</f>
        <v>0.31233564370140293</v>
      </c>
      <c r="AH15" s="87">
        <f>MEDIAN($AD$14:$AD$17)</f>
        <v>0.32304600807717865</v>
      </c>
      <c r="AK15" s="1"/>
      <c r="AL15" s="87"/>
      <c r="AM15" s="1"/>
      <c r="AN15" s="1" t="str">
        <f>AC15</f>
        <v>Generac</v>
      </c>
      <c r="AO15" s="87">
        <f>INDEX('Comparables Analysis'!CO$6:CO$28,MATCH('Comps Charts'!$B15,'Comparables Analysis'!$C$6:$C$28,0))</f>
        <v>0.20512335626301639</v>
      </c>
      <c r="AP15" s="1" t="str">
        <f>INDEX(AN$14:AN$17,MATCH(AQ15,AO$14:AO$17,0))</f>
        <v>Generac</v>
      </c>
      <c r="AQ15" s="87">
        <f>LARGE(AO$14:AO$17,$C15)</f>
        <v>0.20512335626301639</v>
      </c>
      <c r="AR15" s="87">
        <f>AVERAGE($AO$14:$AO$17)</f>
        <v>0.17566866249999669</v>
      </c>
      <c r="AS15" s="87">
        <f>MEDIAN($AO$14:$AO$17)</f>
        <v>0.18199190896714734</v>
      </c>
    </row>
    <row r="16" spans="1:45" x14ac:dyDescent="0.25">
      <c r="A16" s="1"/>
      <c r="B16" s="1" t="str">
        <f>'Comparables Analysis'!C16</f>
        <v>SMA</v>
      </c>
      <c r="C16" s="1">
        <f>C15+1</f>
        <v>3</v>
      </c>
      <c r="D16" s="1"/>
      <c r="E16" s="1" t="str">
        <f t="shared" si="0"/>
        <v>SMA</v>
      </c>
      <c r="F16" s="225">
        <f>INDEX('Comparables Analysis'!BI$6:BI$28,MATCH('Comps Charts'!$B16,'Comparables Analysis'!$C$6:$C$28,0))</f>
        <v>28.254607142857147</v>
      </c>
      <c r="G16" s="225">
        <f>INDEX('Comparables Analysis'!BJ$6:BJ$28,MATCH('Comps Charts'!$B16,'Comparables Analysis'!$C$6:$C$28,0))</f>
        <v>16.832531914893618</v>
      </c>
      <c r="H16" s="1" t="str">
        <f>INDEX(E$14:E$17,MATCH(I16,F$14:F$17,0))</f>
        <v>SolarEdge</v>
      </c>
      <c r="I16" s="225">
        <f>LARGE(F$14:F$17,$C16)</f>
        <v>28.026309454104311</v>
      </c>
      <c r="J16" s="225">
        <f t="shared" si="1"/>
        <v>17.53135102022695</v>
      </c>
      <c r="K16" s="225">
        <f>AVERAGE($I$14:$I$17)</f>
        <v>31.655685962255955</v>
      </c>
      <c r="L16" s="225">
        <f>MEDIAN($I$14:$I$17)</f>
        <v>28.140458298480731</v>
      </c>
      <c r="M16" s="225">
        <f>AVERAGE($J$14:$J$17)</f>
        <v>22.106408532445457</v>
      </c>
      <c r="N16" s="225">
        <f>MEDIAN($J$14:$J$17)</f>
        <v>17.181941467560286</v>
      </c>
      <c r="O16" s="1"/>
      <c r="P16" s="1"/>
      <c r="Q16" s="225"/>
      <c r="R16" s="225"/>
      <c r="S16" s="1"/>
      <c r="T16" s="225"/>
      <c r="U16" s="1" t="str">
        <f>B16</f>
        <v>SMA</v>
      </c>
      <c r="V16" s="87">
        <f>INDEX('Comparables Analysis'!BS$6:BS$28,MATCH('Comps Charts'!$B16,'Comparables Analysis'!$C$6:$C$28,0))</f>
        <v>0.12232283549346019</v>
      </c>
      <c r="W16" s="1" t="str">
        <f>INDEX(U$14:U$17,MATCH(X16,V$14:V$17,0))</f>
        <v>SMA</v>
      </c>
      <c r="X16" s="87">
        <f>LARGE(V$14:V$17,$C16)</f>
        <v>0.12232283549346019</v>
      </c>
      <c r="Y16" s="87">
        <f>AVERAGE($V$14:$V$17)</f>
        <v>0.24445879821136901</v>
      </c>
      <c r="Z16" s="87">
        <f>MEDIAN($V$14:$V$17)</f>
        <v>0.23405128062088937</v>
      </c>
      <c r="AC16" s="1" t="str">
        <f>U16</f>
        <v>SMA</v>
      </c>
      <c r="AD16" s="87">
        <f>INDEX('Comparables Analysis'!CD$6:CD$28,MATCH('Comps Charts'!$B16,'Comparables Analysis'!$C$6:$C$28,0))</f>
        <v>0.19446175039402899</v>
      </c>
      <c r="AE16" s="1" t="str">
        <f>INDEX(AC$14:AC$17,MATCH(AF16,AD$14:AD$17,0))</f>
        <v>SolarEdge</v>
      </c>
      <c r="AF16" s="87">
        <f>LARGE(AD$14:AD$17,$C16)</f>
        <v>0.30096319987712933</v>
      </c>
      <c r="AG16" s="87">
        <f>AVERAGE($AD$14:$AD$17)</f>
        <v>0.31233564370140293</v>
      </c>
      <c r="AH16" s="87">
        <f>MEDIAN($AD$14:$AD$17)</f>
        <v>0.32304600807717865</v>
      </c>
      <c r="AK16" s="1"/>
      <c r="AL16" s="87"/>
      <c r="AM16" s="1"/>
      <c r="AN16" s="1" t="str">
        <f>AC16</f>
        <v>SMA</v>
      </c>
      <c r="AO16" s="87">
        <f>INDEX('Comparables Analysis'!CO$6:CO$28,MATCH('Comps Charts'!$B16,'Comparables Analysis'!$C$6:$C$28,0))</f>
        <v>6.564467786402961E-2</v>
      </c>
      <c r="AP16" s="1" t="str">
        <f>INDEX(AN$14:AN$17,MATCH(AQ16,AO$14:AO$17,0))</f>
        <v>SolarEdge</v>
      </c>
      <c r="AQ16" s="87">
        <f>LARGE(AO$14:AO$17,$C16)</f>
        <v>0.15886046167127826</v>
      </c>
      <c r="AR16" s="87">
        <f>AVERAGE($AO$14:$AO$17)</f>
        <v>0.17566866249999669</v>
      </c>
      <c r="AS16" s="87">
        <f>MEDIAN($AO$14:$AO$17)</f>
        <v>0.18199190896714734</v>
      </c>
    </row>
    <row r="17" spans="1:45" x14ac:dyDescent="0.25">
      <c r="A17" s="1"/>
      <c r="B17" s="1" t="str">
        <f>'Comparables Analysis'!C17</f>
        <v>SolarEdge</v>
      </c>
      <c r="C17" s="1">
        <f>C16+1</f>
        <v>4</v>
      </c>
      <c r="D17" s="1"/>
      <c r="E17" s="1" t="str">
        <f t="shared" si="0"/>
        <v>SolarEdge</v>
      </c>
      <c r="F17" s="225">
        <f>INDEX('Comparables Analysis'!BI$6:BI$28,MATCH('Comps Charts'!$B17,'Comparables Analysis'!$C$6:$C$28,0))</f>
        <v>28.026309454104311</v>
      </c>
      <c r="G17" s="225">
        <f>INDEX('Comparables Analysis'!BJ$6:BJ$28,MATCH('Comps Charts'!$B17,'Comparables Analysis'!$C$6:$C$28,0))</f>
        <v>17.53135102022695</v>
      </c>
      <c r="H17" s="1" t="str">
        <f>INDEX(E$14:E$17,MATCH(I17,F$14:F$17,0))</f>
        <v>Generac</v>
      </c>
      <c r="I17" s="225">
        <f>LARGE(F$14:F$17,$C17)</f>
        <v>9.6241685994481987</v>
      </c>
      <c r="J17" s="225">
        <f t="shared" si="1"/>
        <v>9.2793286822041257</v>
      </c>
      <c r="K17" s="225">
        <f>AVERAGE($I$14:$I$17)</f>
        <v>31.655685962255955</v>
      </c>
      <c r="L17" s="225">
        <f>MEDIAN($I$14:$I$17)</f>
        <v>28.140458298480731</v>
      </c>
      <c r="M17" s="225">
        <f>AVERAGE($J$14:$J$17)</f>
        <v>22.106408532445457</v>
      </c>
      <c r="N17" s="225">
        <f>MEDIAN($J$14:$J$17)</f>
        <v>17.181941467560286</v>
      </c>
      <c r="O17" s="1"/>
      <c r="P17" s="1"/>
      <c r="Q17" s="225"/>
      <c r="R17" s="225"/>
      <c r="S17" s="1"/>
      <c r="T17" s="225"/>
      <c r="U17" s="1" t="str">
        <f>B17</f>
        <v>SolarEdge</v>
      </c>
      <c r="V17" s="87">
        <f>INDEX('Comparables Analysis'!BS$6:BS$28,MATCH('Comps Charts'!$B17,'Comparables Analysis'!$C$6:$C$28,0))</f>
        <v>0.3457797257483185</v>
      </c>
      <c r="W17" s="1" t="str">
        <f>INDEX(U$14:U$17,MATCH(X17,V$14:V$17,0))</f>
        <v>Generac</v>
      </c>
      <c r="X17" s="87">
        <f>LARGE(V$14:V$17,$C17)</f>
        <v>9.6470781237041378E-2</v>
      </c>
      <c r="Y17" s="87">
        <f>AVERAGE($V$14:$V$17)</f>
        <v>0.24445879821136901</v>
      </c>
      <c r="Z17" s="87">
        <f>MEDIAN($V$14:$V$17)</f>
        <v>0.23405128062088937</v>
      </c>
      <c r="AC17" s="1" t="str">
        <f>U17</f>
        <v>SolarEdge</v>
      </c>
      <c r="AD17" s="87">
        <f>INDEX('Comparables Analysis'!CD$6:CD$28,MATCH('Comps Charts'!$B17,'Comparables Analysis'!$C$6:$C$28,0))</f>
        <v>0.30096319987712933</v>
      </c>
      <c r="AE17" s="1" t="str">
        <f>INDEX(AC$14:AC$17,MATCH(AF17,AD$14:AD$17,0))</f>
        <v>SMA</v>
      </c>
      <c r="AF17" s="87">
        <f>LARGE(AD$14:AD$17,$C17)</f>
        <v>0.19446175039402899</v>
      </c>
      <c r="AG17" s="87">
        <f>AVERAGE($AD$14:$AD$17)</f>
        <v>0.31233564370140293</v>
      </c>
      <c r="AH17" s="87">
        <f>MEDIAN($AD$14:$AD$17)</f>
        <v>0.32304600807717865</v>
      </c>
      <c r="AK17" s="1"/>
      <c r="AL17" s="87"/>
      <c r="AM17" s="1"/>
      <c r="AN17" s="1" t="str">
        <f>AC17</f>
        <v>SolarEdge</v>
      </c>
      <c r="AO17" s="87">
        <f>INDEX('Comparables Analysis'!CO$6:CO$28,MATCH('Comps Charts'!$B17,'Comparables Analysis'!$C$6:$C$28,0))</f>
        <v>0.15886046167127826</v>
      </c>
      <c r="AP17" s="1" t="str">
        <f>INDEX(AN$14:AN$17,MATCH(AQ17,AO$14:AO$17,0))</f>
        <v>SMA</v>
      </c>
      <c r="AQ17" s="87">
        <f>LARGE(AO$14:AO$17,$C17)</f>
        <v>6.564467786402961E-2</v>
      </c>
      <c r="AR17" s="87">
        <f>AVERAGE($AO$14:$AO$17)</f>
        <v>0.17566866249999669</v>
      </c>
      <c r="AS17" s="87">
        <f>MEDIAN($AO$14:$AO$17)</f>
        <v>0.18199190896714734</v>
      </c>
    </row>
    <row r="18" spans="1:4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87"/>
      <c r="W18" s="1"/>
      <c r="X18" s="87"/>
      <c r="Y18" s="87"/>
      <c r="Z18" s="87"/>
      <c r="AC18" s="1"/>
      <c r="AD18" s="87"/>
      <c r="AE18" s="1"/>
      <c r="AF18" s="87"/>
      <c r="AG18" s="87"/>
      <c r="AH18" s="87"/>
      <c r="AK18" s="1"/>
      <c r="AL18" s="87"/>
      <c r="AM18" s="1"/>
      <c r="AN18" s="1"/>
      <c r="AO18" s="87"/>
      <c r="AP18" s="1"/>
      <c r="AQ18" s="87"/>
      <c r="AR18" s="87"/>
      <c r="AS18" s="87"/>
    </row>
    <row r="19" spans="1:45" x14ac:dyDescent="0.25">
      <c r="A19" s="1"/>
      <c r="B19" s="1" t="str">
        <f>'Comparables Analysis'!C20</f>
        <v>Canadian Solar</v>
      </c>
      <c r="C19" s="1">
        <v>1</v>
      </c>
      <c r="D19" s="1"/>
      <c r="E19" s="1" t="str">
        <f t="shared" si="0"/>
        <v>Canadian Solar</v>
      </c>
      <c r="F19" s="225">
        <f>INDEX('Comparables Analysis'!BI$6:BI$28,MATCH('Comps Charts'!$B19,'Comparables Analysis'!$C$6:$C$28,0))</f>
        <v>6.8820181568984964</v>
      </c>
      <c r="G19" s="225">
        <f>INDEX('Comparables Analysis'!BJ$6:BJ$28,MATCH('Comps Charts'!$B19,'Comparables Analysis'!$C$6:$C$28,0))</f>
        <v>4.3431004264175561</v>
      </c>
      <c r="H19" s="1" t="str">
        <f>INDEX(E$19:E$22,MATCH(I19,F$19:F$22,0))</f>
        <v>First Solar</v>
      </c>
      <c r="I19" s="225">
        <f>LARGE(F$19:F$22,$C19)</f>
        <v>42.168460316333331</v>
      </c>
      <c r="J19" s="225">
        <f t="shared" si="1"/>
        <v>15.465205494987774</v>
      </c>
      <c r="K19" s="225">
        <f>AVERAGE($I$19:$I$22)</f>
        <v>15.086246663602203</v>
      </c>
      <c r="L19" s="225">
        <f>MEDIAN($I$19:$I$22)</f>
        <v>12.303255340131491</v>
      </c>
      <c r="M19" s="225">
        <f>AVERAGE($J$19:$J$22)</f>
        <v>11.348558052022113</v>
      </c>
      <c r="N19" s="225">
        <f>MEDIAN($J$19:$J$22)</f>
        <v>11.579500719096322</v>
      </c>
      <c r="O19" s="1"/>
      <c r="P19" s="87">
        <f>$J$8/N19-1</f>
        <v>1.2392232264674288</v>
      </c>
      <c r="Q19" s="225"/>
      <c r="R19" s="225"/>
      <c r="S19" s="1"/>
      <c r="T19" s="225"/>
      <c r="U19" s="1" t="str">
        <f>B19</f>
        <v>Canadian Solar</v>
      </c>
      <c r="V19" s="87">
        <f>INDEX('Comparables Analysis'!BS$6:BS$28,MATCH('Comps Charts'!$B19,'Comparables Analysis'!$C$6:$C$28,0))</f>
        <v>0.2371896108490304</v>
      </c>
      <c r="W19" s="1" t="str">
        <f>INDEX(U$19:U$22,MATCH(X19,V$19:V$22,0))</f>
        <v>JinkoSolar</v>
      </c>
      <c r="X19" s="87">
        <f>LARGE(V$19:V$22,$C19)</f>
        <v>0.33041092423139312</v>
      </c>
      <c r="Y19" s="87">
        <f>AVERAGE($V$19:$V$22)</f>
        <v>0.24927064736055612</v>
      </c>
      <c r="Z19" s="87">
        <f>MEDIAN($X$19:$X$22)</f>
        <v>0.25715337462505683</v>
      </c>
      <c r="AC19" s="1" t="str">
        <f>U19</f>
        <v>Canadian Solar</v>
      </c>
      <c r="AD19" s="87">
        <f>INDEX('Comparables Analysis'!CD$6:CD$28,MATCH('Comps Charts'!$B19,'Comparables Analysis'!$C$6:$C$28,0))</f>
        <v>0.17450598373713211</v>
      </c>
      <c r="AE19" s="1" t="str">
        <f>INDEX(AC$19:AC$22,MATCH(AF19,AD$19:AD$22,0))</f>
        <v>First Solar</v>
      </c>
      <c r="AF19" s="87">
        <f>LARGE(AD$19:AD$22,$C19)</f>
        <v>0.19342496552415361</v>
      </c>
      <c r="AG19" s="87">
        <f>AVERAGE($AD$19:$AD$22)</f>
        <v>0.14267391486964787</v>
      </c>
      <c r="AH19" s="87">
        <f>MEDIAN($AD$19:$AD$22)</f>
        <v>0.1744604528600168</v>
      </c>
      <c r="AK19" s="1"/>
      <c r="AL19" s="87"/>
      <c r="AM19" s="1"/>
      <c r="AN19" s="1" t="str">
        <f>AC19</f>
        <v>Canadian Solar</v>
      </c>
      <c r="AO19" s="87">
        <f>INDEX('Comparables Analysis'!CO$6:CO$28,MATCH('Comps Charts'!$B19,'Comparables Analysis'!$C$6:$C$28,0))</f>
        <v>8.6283748846845754E-2</v>
      </c>
      <c r="AP19" s="1" t="str">
        <f>INDEX(AN$19:AN$22,MATCH(AQ19,AO$19:AO$22,0))</f>
        <v>First Solar</v>
      </c>
      <c r="AQ19" s="87">
        <f>LARGE(AO$19:AO$22,$C19)</f>
        <v>0.23476456082991484</v>
      </c>
      <c r="AR19" s="87">
        <f>AVERAGE($AO$19:$AO$22)</f>
        <v>8.444991793334565E-2</v>
      </c>
      <c r="AS19" s="87">
        <f>MEDIAN($AO$19:$AO$22)</f>
        <v>7.58153797909904E-2</v>
      </c>
    </row>
    <row r="20" spans="1:45" x14ac:dyDescent="0.25">
      <c r="A20" s="1"/>
      <c r="B20" s="1" t="str">
        <f>'Comparables Analysis'!C21</f>
        <v>First Solar</v>
      </c>
      <c r="C20" s="1">
        <f>C19+1</f>
        <v>2</v>
      </c>
      <c r="D20" s="1"/>
      <c r="E20" s="1" t="str">
        <f t="shared" si="0"/>
        <v>First Solar</v>
      </c>
      <c r="F20" s="225">
        <f>INDEX('Comparables Analysis'!BI$6:BI$28,MATCH('Comps Charts'!$B20,'Comparables Analysis'!$C$6:$C$28,0))</f>
        <v>42.168460316333331</v>
      </c>
      <c r="G20" s="225">
        <f>INDEX('Comparables Analysis'!BJ$6:BJ$28,MATCH('Comps Charts'!$B20,'Comparables Analysis'!$C$6:$C$28,0))</f>
        <v>15.465205494987774</v>
      </c>
      <c r="H20" s="1" t="str">
        <f>INDEX(E$19:E$22,MATCH(I20,F$19:F$22,0))</f>
        <v>JinkoSolar</v>
      </c>
      <c r="I20" s="225">
        <f>LARGE(F$19:F$22,$C20)</f>
        <v>17.724492523364486</v>
      </c>
      <c r="J20" s="225">
        <f t="shared" si="1"/>
        <v>7.6937959432048686</v>
      </c>
      <c r="K20" s="225">
        <f>AVERAGE($I$19:$I$22)</f>
        <v>15.086246663602203</v>
      </c>
      <c r="L20" s="225">
        <f>MEDIAN($I$19:$I$22)</f>
        <v>12.303255340131491</v>
      </c>
      <c r="M20" s="225">
        <f>AVERAGE($J$19:$J$22)</f>
        <v>11.348558052022113</v>
      </c>
      <c r="N20" s="225">
        <f>MEDIAN($J$19:$J$22)</f>
        <v>11.579500719096322</v>
      </c>
      <c r="O20" s="1"/>
      <c r="P20" s="1"/>
      <c r="Q20" s="225"/>
      <c r="R20" s="225"/>
      <c r="S20" s="1"/>
      <c r="T20" s="225"/>
      <c r="U20" s="1" t="str">
        <f>B20</f>
        <v>First Solar</v>
      </c>
      <c r="V20" s="87">
        <f>INDEX('Comparables Analysis'!BS$6:BS$28,MATCH('Comps Charts'!$B20,'Comparables Analysis'!$C$6:$C$28,0))</f>
        <v>0.15236491596071769</v>
      </c>
      <c r="W20" s="1" t="str">
        <f>INDEX(U$19:U$22,MATCH(X20,V$19:V$22,0))</f>
        <v>Maxeon</v>
      </c>
      <c r="X20" s="87">
        <f>LARGE(V$19:V$22,$C20)</f>
        <v>0.27711713840108321</v>
      </c>
      <c r="Y20" s="87">
        <f>AVERAGE($V$19:$V$22)</f>
        <v>0.24927064736055612</v>
      </c>
      <c r="Z20" s="87">
        <f>MEDIAN($X$19:$X$22)</f>
        <v>0.25715337462505683</v>
      </c>
      <c r="AC20" s="1" t="str">
        <f>U20</f>
        <v>First Solar</v>
      </c>
      <c r="AD20" s="87">
        <f>INDEX('Comparables Analysis'!CD$6:CD$28,MATCH('Comps Charts'!$B20,'Comparables Analysis'!$C$6:$C$28,0))</f>
        <v>0.19342496552415361</v>
      </c>
      <c r="AE20" s="1" t="str">
        <f>INDEX(AC$19:AC$22,MATCH(AF20,AD$19:AD$22,0))</f>
        <v>Canadian Solar</v>
      </c>
      <c r="AF20" s="87">
        <f>LARGE(AD$19:AD$22,$C20)</f>
        <v>0.17450598373713211</v>
      </c>
      <c r="AG20" s="87">
        <f>AVERAGE($AD$19:$AD$22)</f>
        <v>0.14267391486964787</v>
      </c>
      <c r="AH20" s="87">
        <f>MEDIAN($AD$19:$AD$22)</f>
        <v>0.1744604528600168</v>
      </c>
      <c r="AK20" s="1"/>
      <c r="AL20" s="87"/>
      <c r="AM20" s="1"/>
      <c r="AN20" s="1" t="str">
        <f>AC20</f>
        <v>First Solar</v>
      </c>
      <c r="AO20" s="87">
        <f>INDEX('Comparables Analysis'!CO$6:CO$28,MATCH('Comps Charts'!$B20,'Comparables Analysis'!$C$6:$C$28,0))</f>
        <v>0.23476456082991484</v>
      </c>
      <c r="AP20" s="1" t="str">
        <f>INDEX(AN$19:AN$22,MATCH(AQ20,AO$19:AO$22,0))</f>
        <v>Canadian Solar</v>
      </c>
      <c r="AQ20" s="87">
        <f>LARGE(AO$19:AO$22,$C20)</f>
        <v>8.6283748846845754E-2</v>
      </c>
      <c r="AR20" s="87">
        <f>AVERAGE($AO$19:$AO$22)</f>
        <v>8.444991793334565E-2</v>
      </c>
      <c r="AS20" s="87">
        <f>MEDIAN($AO$19:$AO$22)</f>
        <v>7.58153797909904E-2</v>
      </c>
    </row>
    <row r="21" spans="1:45" x14ac:dyDescent="0.25">
      <c r="A21" s="1"/>
      <c r="B21" s="1" t="str">
        <f>'Comparables Analysis'!C22</f>
        <v>JinkoSolar</v>
      </c>
      <c r="C21" s="1">
        <f>C20+1</f>
        <v>3</v>
      </c>
      <c r="D21" s="1"/>
      <c r="E21" s="1" t="str">
        <f t="shared" si="0"/>
        <v>JinkoSolar</v>
      </c>
      <c r="F21" s="225">
        <f>INDEX('Comparables Analysis'!BI$6:BI$28,MATCH('Comps Charts'!$B21,'Comparables Analysis'!$C$6:$C$28,0))</f>
        <v>17.724492523364486</v>
      </c>
      <c r="G21" s="225">
        <f>INDEX('Comparables Analysis'!BJ$6:BJ$28,MATCH('Comps Charts'!$B21,'Comparables Analysis'!$C$6:$C$28,0))</f>
        <v>7.6937959432048686</v>
      </c>
      <c r="H21" s="1" t="str">
        <f>INDEX(E$19:E$22,MATCH(I21,F$19:F$22,0))</f>
        <v>Canadian Solar</v>
      </c>
      <c r="I21" s="225">
        <f>LARGE(F$19:F$22,$C21)</f>
        <v>6.8820181568984964</v>
      </c>
      <c r="J21" s="225">
        <f t="shared" si="1"/>
        <v>4.3431004264175561</v>
      </c>
      <c r="K21" s="225">
        <f>AVERAGE($I$19:$I$22)</f>
        <v>15.086246663602203</v>
      </c>
      <c r="L21" s="225">
        <f>MEDIAN($I$19:$I$22)</f>
        <v>12.303255340131491</v>
      </c>
      <c r="M21" s="225">
        <f>AVERAGE($J$19:$J$22)</f>
        <v>11.348558052022113</v>
      </c>
      <c r="N21" s="225">
        <f>MEDIAN($J$19:$J$22)</f>
        <v>11.579500719096322</v>
      </c>
      <c r="O21" s="1"/>
      <c r="P21" s="1"/>
      <c r="Q21" s="225"/>
      <c r="R21" s="225"/>
      <c r="S21" s="1"/>
      <c r="T21" s="225"/>
      <c r="U21" s="1" t="str">
        <f>B21</f>
        <v>JinkoSolar</v>
      </c>
      <c r="V21" s="87">
        <f>INDEX('Comparables Analysis'!BS$6:BS$28,MATCH('Comps Charts'!$B21,'Comparables Analysis'!$C$6:$C$28,0))</f>
        <v>0.33041092423139312</v>
      </c>
      <c r="W21" s="1" t="str">
        <f>INDEX(U$19:U$22,MATCH(X21,V$19:V$22,0))</f>
        <v>Canadian Solar</v>
      </c>
      <c r="X21" s="87">
        <f>LARGE(V$19:V$22,$C21)</f>
        <v>0.2371896108490304</v>
      </c>
      <c r="Y21" s="87">
        <f>AVERAGE($V$19:$V$22)</f>
        <v>0.24927064736055612</v>
      </c>
      <c r="Z21" s="87">
        <f>MEDIAN($X$19:$X$22)</f>
        <v>0.25715337462505683</v>
      </c>
      <c r="AC21" s="1" t="str">
        <f>U21</f>
        <v>JinkoSolar</v>
      </c>
      <c r="AD21" s="87">
        <f>INDEX('Comparables Analysis'!CD$6:CD$28,MATCH('Comps Charts'!$B21,'Comparables Analysis'!$C$6:$C$28,0))</f>
        <v>0.17441492198290148</v>
      </c>
      <c r="AE21" s="1" t="str">
        <f>INDEX(AC$19:AC$22,MATCH(AF21,AD$19:AD$22,0))</f>
        <v>JinkoSolar</v>
      </c>
      <c r="AF21" s="87">
        <f>LARGE(AD$19:AD$22,$C21)</f>
        <v>0.17441492198290148</v>
      </c>
      <c r="AG21" s="87">
        <f>AVERAGE($AD$19:$AD$22)</f>
        <v>0.14267391486964787</v>
      </c>
      <c r="AH21" s="87">
        <f>MEDIAN($AD$19:$AD$22)</f>
        <v>0.1744604528600168</v>
      </c>
      <c r="AK21" s="1"/>
      <c r="AL21" s="87"/>
      <c r="AM21" s="1"/>
      <c r="AN21" s="1" t="str">
        <f>AC21</f>
        <v>JinkoSolar</v>
      </c>
      <c r="AO21" s="87">
        <f>INDEX('Comparables Analysis'!CO$6:CO$28,MATCH('Comps Charts'!$B21,'Comparables Analysis'!$C$6:$C$28,0))</f>
        <v>6.5347010735135033E-2</v>
      </c>
      <c r="AP21" s="1" t="str">
        <f>INDEX(AN$19:AN$22,MATCH(AQ21,AO$19:AO$22,0))</f>
        <v>JinkoSolar</v>
      </c>
      <c r="AQ21" s="87">
        <f>LARGE(AO$19:AO$22,$C21)</f>
        <v>6.5347010735135033E-2</v>
      </c>
      <c r="AR21" s="87">
        <f>AVERAGE($AO$19:$AO$22)</f>
        <v>8.444991793334565E-2</v>
      </c>
      <c r="AS21" s="87">
        <f>MEDIAN($AO$19:$AO$22)</f>
        <v>7.58153797909904E-2</v>
      </c>
    </row>
    <row r="22" spans="1:45" x14ac:dyDescent="0.25">
      <c r="A22" s="1"/>
      <c r="B22" s="1" t="str">
        <f>'Comparables Analysis'!C23</f>
        <v>Maxeon</v>
      </c>
      <c r="C22" s="1">
        <f>C21+1</f>
        <v>4</v>
      </c>
      <c r="D22" s="1"/>
      <c r="E22" s="1" t="str">
        <f t="shared" si="0"/>
        <v>Maxeon</v>
      </c>
      <c r="F22" s="225">
        <f>INDEX('Comparables Analysis'!BI$6:BI$28,MATCH('Comps Charts'!$B22,'Comparables Analysis'!$C$6:$C$28,0))</f>
        <v>-6.4299843421874989</v>
      </c>
      <c r="G22" s="225">
        <f>INDEX('Comparables Analysis'!BJ$6:BJ$28,MATCH('Comps Charts'!$B22,'Comparables Analysis'!$C$6:$C$28,0))</f>
        <v>17.892130343478257</v>
      </c>
      <c r="H22" s="1" t="str">
        <f>INDEX(E$19:E$22,MATCH(I22,F$19:F$22,0))</f>
        <v>Maxeon</v>
      </c>
      <c r="I22" s="225">
        <f>LARGE(F$19:F$22,$C22)</f>
        <v>-6.4299843421874989</v>
      </c>
      <c r="J22" s="225">
        <f t="shared" si="1"/>
        <v>17.892130343478257</v>
      </c>
      <c r="K22" s="225">
        <f>AVERAGE($I$19:$I$22)</f>
        <v>15.086246663602203</v>
      </c>
      <c r="L22" s="225">
        <f>MEDIAN($I$19:$I$22)</f>
        <v>12.303255340131491</v>
      </c>
      <c r="M22" s="225">
        <f>AVERAGE($J$19:$J$22)</f>
        <v>11.348558052022113</v>
      </c>
      <c r="N22" s="225">
        <f>MEDIAN($J$19:$J$22)</f>
        <v>11.579500719096322</v>
      </c>
      <c r="O22" s="1"/>
      <c r="P22" s="1"/>
      <c r="Q22" s="225"/>
      <c r="R22" s="225"/>
      <c r="S22" s="1"/>
      <c r="T22" s="225"/>
      <c r="U22" s="1" t="str">
        <f>B22</f>
        <v>Maxeon</v>
      </c>
      <c r="V22" s="87">
        <f>INDEX('Comparables Analysis'!BS$6:BS$28,MATCH('Comps Charts'!$B22,'Comparables Analysis'!$C$6:$C$28,0))</f>
        <v>0.27711713840108321</v>
      </c>
      <c r="W22" s="1" t="str">
        <f>INDEX(U$19:U$22,MATCH(X22,V$19:V$22,0))</f>
        <v>First Solar</v>
      </c>
      <c r="X22" s="87">
        <f>LARGE(V$19:V$22,$C22)</f>
        <v>0.15236491596071769</v>
      </c>
      <c r="Y22" s="87">
        <f>AVERAGE($V$19:$V$22)</f>
        <v>0.24927064736055612</v>
      </c>
      <c r="Z22" s="87">
        <f>MEDIAN($X$19:$X$22)</f>
        <v>0.25715337462505683</v>
      </c>
      <c r="AC22" s="1" t="str">
        <f>U22</f>
        <v>Maxeon</v>
      </c>
      <c r="AD22" s="87">
        <f>INDEX('Comparables Analysis'!CD$6:CD$28,MATCH('Comps Charts'!$B22,'Comparables Analysis'!$C$6:$C$28,0))</f>
        <v>2.8349788234404236E-2</v>
      </c>
      <c r="AE22" s="1" t="str">
        <f>INDEX(AC$19:AC$22,MATCH(AF22,AD$19:AD$22,0))</f>
        <v>Maxeon</v>
      </c>
      <c r="AF22" s="87">
        <f>LARGE(AD$19:AD$22,$C22)</f>
        <v>2.8349788234404236E-2</v>
      </c>
      <c r="AG22" s="87">
        <f>AVERAGE($AD$19:$AD$22)</f>
        <v>0.14267391486964787</v>
      </c>
      <c r="AH22" s="87">
        <f>MEDIAN($AD$19:$AD$22)</f>
        <v>0.1744604528600168</v>
      </c>
      <c r="AK22" s="1"/>
      <c r="AL22" s="87"/>
      <c r="AM22" s="1"/>
      <c r="AN22" s="1" t="str">
        <f>AC22</f>
        <v>Maxeon</v>
      </c>
      <c r="AO22" s="87">
        <f>INDEX('Comparables Analysis'!CO$6:CO$28,MATCH('Comps Charts'!$B22,'Comparables Analysis'!$C$6:$C$28,0))</f>
        <v>-4.8595648678513015E-2</v>
      </c>
      <c r="AP22" s="1" t="str">
        <f>INDEX(AN$19:AN$22,MATCH(AQ22,AO$19:AO$22,0))</f>
        <v>Maxeon</v>
      </c>
      <c r="AQ22" s="87">
        <f>LARGE(AO$19:AO$22,$C22)</f>
        <v>-4.8595648678513015E-2</v>
      </c>
      <c r="AR22" s="87">
        <f>AVERAGE($AO$19:$AO$22)</f>
        <v>8.444991793334565E-2</v>
      </c>
      <c r="AS22" s="87">
        <f>MEDIAN($AO$19:$AO$22)</f>
        <v>7.58153797909904E-2</v>
      </c>
    </row>
    <row r="23" spans="1:4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87"/>
      <c r="W23" s="1"/>
      <c r="X23" s="87"/>
      <c r="Y23" s="87"/>
      <c r="Z23" s="87"/>
      <c r="AC23" s="1"/>
      <c r="AD23" s="87"/>
      <c r="AE23" s="1"/>
      <c r="AF23" s="87"/>
      <c r="AG23" s="87"/>
      <c r="AH23" s="87"/>
      <c r="AK23" s="1"/>
      <c r="AL23" s="87"/>
      <c r="AM23" s="1"/>
      <c r="AN23" s="1"/>
      <c r="AO23" s="87"/>
      <c r="AP23" s="1"/>
      <c r="AQ23" s="87"/>
      <c r="AR23" s="87"/>
      <c r="AS23" s="87"/>
    </row>
    <row r="24" spans="1:45" x14ac:dyDescent="0.25">
      <c r="A24" s="1"/>
      <c r="B24" s="1" t="str">
        <f>'Comparables Analysis'!C26</f>
        <v>Amphenol</v>
      </c>
      <c r="C24" s="1">
        <v>1</v>
      </c>
      <c r="D24" s="1"/>
      <c r="E24" s="1" t="str">
        <f t="shared" si="0"/>
        <v>Amphenol</v>
      </c>
      <c r="F24" s="225">
        <f>INDEX('Comparables Analysis'!BI$6:BI$28,MATCH('Comps Charts'!$B24,'Comparables Analysis'!$C$6:$C$28,0))</f>
        <v>17.279307721140736</v>
      </c>
      <c r="G24" s="225">
        <f>INDEX('Comparables Analysis'!BJ$6:BJ$28,MATCH('Comps Charts'!$B24,'Comparables Analysis'!$C$6:$C$28,0))</f>
        <v>16.585224741736312</v>
      </c>
      <c r="H24" s="1" t="str">
        <f>INDEX(E$24:E$26,MATCH(I24,F$24:F$26,0))</f>
        <v>Amphenol</v>
      </c>
      <c r="I24" s="225">
        <f>LARGE(F$24:F$26,$C24)</f>
        <v>17.279307721140736</v>
      </c>
      <c r="J24" s="225">
        <f t="shared" si="1"/>
        <v>16.585224741736312</v>
      </c>
      <c r="K24" s="225">
        <f>AVERAGE($I$24:$I$26)</f>
        <v>15.078760027098577</v>
      </c>
      <c r="L24" s="225">
        <f>MEDIAN($I$24:$I$26)</f>
        <v>16.602536585365854</v>
      </c>
      <c r="M24" s="225">
        <f>AVERAGE($J$24:$J$26)</f>
        <v>14.158918327050442</v>
      </c>
      <c r="N24" s="225">
        <f>MEDIAN($J$24:$J$26)</f>
        <v>14.999310434219055</v>
      </c>
      <c r="O24" s="1"/>
      <c r="P24" s="87">
        <f>$J$8/N24-1</f>
        <v>0.7286852668868562</v>
      </c>
      <c r="Q24" s="225"/>
      <c r="R24" s="225"/>
      <c r="S24" s="1"/>
      <c r="T24" s="225"/>
      <c r="U24" s="1" t="str">
        <f>B24</f>
        <v>Amphenol</v>
      </c>
      <c r="V24" s="87">
        <f>INDEX('Comparables Analysis'!BS$6:BS$28,MATCH('Comps Charts'!$B24,'Comparables Analysis'!$C$6:$C$28,0))</f>
        <v>8.3258187857147156E-2</v>
      </c>
      <c r="W24" s="1" t="str">
        <f>INDEX(U$24:U$26,MATCH(X24,V$24:V$26,0))</f>
        <v>Amphenol</v>
      </c>
      <c r="X24" s="87">
        <f>LARGE(V$24:V$26,$C24)</f>
        <v>8.3258187857147156E-2</v>
      </c>
      <c r="Y24" s="87">
        <f>AVERAGE($V$24:$V$26)</f>
        <v>6.3358383905834148E-2</v>
      </c>
      <c r="Z24" s="87">
        <f>MEDIAN($V$24:$V$26)</f>
        <v>5.484689067246367E-2</v>
      </c>
      <c r="AC24" s="1" t="str">
        <f>U24</f>
        <v>Amphenol</v>
      </c>
      <c r="AD24" s="87">
        <f>INDEX('Comparables Analysis'!CD$6:CD$28,MATCH('Comps Charts'!$B24,'Comparables Analysis'!$C$6:$C$28,0))</f>
        <v>0.31873331208693162</v>
      </c>
      <c r="AE24" s="1" t="str">
        <f>INDEX(AC$24:AC$26,MATCH(AF24,AD$24:AD$26,0))</f>
        <v>Eaton</v>
      </c>
      <c r="AF24" s="87">
        <f>LARGE(AD$24:AD$26,$C24)</f>
        <v>0.34863246370940459</v>
      </c>
      <c r="AG24" s="87">
        <f>AVERAGE($AD$24:$AD$26)</f>
        <v>0.3322704332668473</v>
      </c>
      <c r="AH24" s="87">
        <f>MEDIAN($AD$24:$AD$26)</f>
        <v>0.32944552400420563</v>
      </c>
      <c r="AK24" s="1"/>
      <c r="AL24" s="87"/>
      <c r="AM24" s="1"/>
      <c r="AN24" s="1" t="str">
        <f>AC24</f>
        <v>Amphenol</v>
      </c>
      <c r="AO24" s="87">
        <f>INDEX('Comparables Analysis'!CO$6:CO$28,MATCH('Comps Charts'!$B24,'Comparables Analysis'!$C$6:$C$28,0))</f>
        <v>0.2394391920009854</v>
      </c>
      <c r="AP24" s="1" t="str">
        <f>INDEX(AN$24:AN$26,MATCH(AQ24,AO$24:AO$26,0))</f>
        <v>Amphenol</v>
      </c>
      <c r="AQ24" s="87">
        <f>LARGE(AO$24:AO$26,$C24)</f>
        <v>0.2394391920009854</v>
      </c>
      <c r="AR24" s="87">
        <f>AVERAGE($AO$24:$AO$26)</f>
        <v>0.2255898638803393</v>
      </c>
      <c r="AS24" s="87">
        <f>MEDIAN($AO$24:$AO$26)</f>
        <v>0.23184828323278267</v>
      </c>
    </row>
    <row r="25" spans="1:45" x14ac:dyDescent="0.25">
      <c r="A25" s="1"/>
      <c r="B25" s="1" t="str">
        <f>'Comparables Analysis'!C27</f>
        <v>Eaton</v>
      </c>
      <c r="C25" s="1">
        <f>C24+1</f>
        <v>2</v>
      </c>
      <c r="D25" s="1"/>
      <c r="E25" s="1" t="str">
        <f t="shared" si="0"/>
        <v>Eaton</v>
      </c>
      <c r="F25" s="225">
        <f>INDEX('Comparables Analysis'!BI$6:BI$28,MATCH('Comps Charts'!$B25,'Comparables Analysis'!$C$6:$C$28,0))</f>
        <v>16.602536585365854</v>
      </c>
      <c r="G25" s="225">
        <f>INDEX('Comparables Analysis'!BJ$6:BJ$28,MATCH('Comps Charts'!$B25,'Comparables Analysis'!$C$6:$C$28,0))</f>
        <v>14.999310434219055</v>
      </c>
      <c r="H25" s="1" t="str">
        <f>INDEX(E$24:E$26,MATCH(I25,F$24:F$26,0))</f>
        <v>Eaton</v>
      </c>
      <c r="I25" s="225">
        <f>LARGE(F$24:F$26,$C25)</f>
        <v>16.602536585365854</v>
      </c>
      <c r="J25" s="225">
        <f t="shared" si="1"/>
        <v>14.999310434219055</v>
      </c>
      <c r="K25" s="225">
        <f>AVERAGE($I$24:$I$26)</f>
        <v>15.078760027098577</v>
      </c>
      <c r="L25" s="225">
        <f>MEDIAN($I$24:$I$26)</f>
        <v>16.602536585365854</v>
      </c>
      <c r="M25" s="225">
        <f>AVERAGE($J$24:$J$26)</f>
        <v>14.158918327050442</v>
      </c>
      <c r="N25" s="225">
        <f>MEDIAN($J$24:$J$26)</f>
        <v>14.999310434219055</v>
      </c>
      <c r="O25" s="1"/>
      <c r="P25" s="1"/>
      <c r="Q25" s="225"/>
      <c r="R25" s="225"/>
      <c r="S25" s="1"/>
      <c r="T25" s="225"/>
      <c r="U25" s="1" t="str">
        <f>B25</f>
        <v>Eaton</v>
      </c>
      <c r="V25" s="87">
        <f>INDEX('Comparables Analysis'!BS$6:BS$28,MATCH('Comps Charts'!$B25,'Comparables Analysis'!$C$6:$C$28,0))</f>
        <v>5.1970073187891618E-2</v>
      </c>
      <c r="W25" s="1" t="str">
        <f>INDEX(U$24:U$26,MATCH(X25,V$24:V$26,0))</f>
        <v>TE Connectivity</v>
      </c>
      <c r="X25" s="87">
        <f>LARGE(V$24:V$26,$C25)</f>
        <v>5.484689067246367E-2</v>
      </c>
      <c r="Y25" s="87">
        <f>AVERAGE($V$24:$V$26)</f>
        <v>6.3358383905834148E-2</v>
      </c>
      <c r="Z25" s="87">
        <f>MEDIAN($V$24:$V$26)</f>
        <v>5.484689067246367E-2</v>
      </c>
      <c r="AC25" s="1" t="str">
        <f>U25</f>
        <v>Eaton</v>
      </c>
      <c r="AD25" s="87">
        <f>INDEX('Comparables Analysis'!CD$6:CD$28,MATCH('Comps Charts'!$B25,'Comparables Analysis'!$C$6:$C$28,0))</f>
        <v>0.34863246370940459</v>
      </c>
      <c r="AE25" s="1" t="str">
        <f>INDEX(AC$24:AC$26,MATCH(AF25,AD$24:AD$26,0))</f>
        <v>TE Connectivity</v>
      </c>
      <c r="AF25" s="87">
        <f>LARGE(AD$24:AD$26,$C25)</f>
        <v>0.32944552400420563</v>
      </c>
      <c r="AG25" s="87">
        <f>AVERAGE($AD$24:$AD$26)</f>
        <v>0.3322704332668473</v>
      </c>
      <c r="AH25" s="87">
        <f>MEDIAN($AD$24:$AD$26)</f>
        <v>0.32944552400420563</v>
      </c>
      <c r="AK25" s="1"/>
      <c r="AL25" s="87"/>
      <c r="AM25" s="1"/>
      <c r="AN25" s="1" t="str">
        <f>AC25</f>
        <v>Eaton</v>
      </c>
      <c r="AO25" s="87">
        <f>INDEX('Comparables Analysis'!CO$6:CO$28,MATCH('Comps Charts'!$B25,'Comparables Analysis'!$C$6:$C$28,0))</f>
        <v>0.20548211640724989</v>
      </c>
      <c r="AP25" s="1" t="str">
        <f>INDEX(AN$24:AN$26,MATCH(AQ25,AO$24:AO$26,0))</f>
        <v>TE Connectivity</v>
      </c>
      <c r="AQ25" s="87">
        <f>LARGE(AO$24:AO$26,$C25)</f>
        <v>0.23184828323278267</v>
      </c>
      <c r="AR25" s="87">
        <f>AVERAGE($AO$24:$AO$26)</f>
        <v>0.2255898638803393</v>
      </c>
      <c r="AS25" s="87">
        <f>MEDIAN($AO$24:$AO$26)</f>
        <v>0.23184828323278267</v>
      </c>
    </row>
    <row r="26" spans="1:45" x14ac:dyDescent="0.25">
      <c r="A26" s="1"/>
      <c r="B26" s="1" t="str">
        <f>'Comparables Analysis'!C28</f>
        <v>TE Connectivity</v>
      </c>
      <c r="C26" s="1">
        <f>C25+1</f>
        <v>3</v>
      </c>
      <c r="D26" s="1"/>
      <c r="E26" s="1" t="str">
        <f t="shared" si="0"/>
        <v>TE Connectivity</v>
      </c>
      <c r="F26" s="225">
        <f>INDEX('Comparables Analysis'!BI$6:BI$28,MATCH('Comps Charts'!$B26,'Comparables Analysis'!$C$6:$C$28,0))</f>
        <v>11.354435774789142</v>
      </c>
      <c r="G26" s="225">
        <f>INDEX('Comparables Analysis'!BJ$6:BJ$28,MATCH('Comps Charts'!$B26,'Comparables Analysis'!$C$6:$C$28,0))</f>
        <v>10.892219805195955</v>
      </c>
      <c r="H26" s="1" t="str">
        <f>INDEX(E$24:E$26,MATCH(I26,F$24:F$26,0))</f>
        <v>TE Connectivity</v>
      </c>
      <c r="I26" s="225">
        <f>LARGE(F$24:F$26,$C26)</f>
        <v>11.354435774789142</v>
      </c>
      <c r="J26" s="225">
        <f t="shared" si="1"/>
        <v>10.892219805195955</v>
      </c>
      <c r="K26" s="225">
        <f>AVERAGE($I$24:$I$26)</f>
        <v>15.078760027098577</v>
      </c>
      <c r="L26" s="225">
        <f>MEDIAN($I$24:$I$26)</f>
        <v>16.602536585365854</v>
      </c>
      <c r="M26" s="225">
        <f>AVERAGE($J$24:$J$26)</f>
        <v>14.158918327050442</v>
      </c>
      <c r="N26" s="225">
        <f>MEDIAN($J$24:$J$26)</f>
        <v>14.999310434219055</v>
      </c>
      <c r="O26" s="1"/>
      <c r="P26" s="1"/>
      <c r="Q26" s="225"/>
      <c r="R26" s="225"/>
      <c r="S26" s="1"/>
      <c r="T26" s="225"/>
      <c r="U26" s="1" t="str">
        <f>B26</f>
        <v>TE Connectivity</v>
      </c>
      <c r="V26" s="87">
        <f>INDEX('Comparables Analysis'!BS$6:BS$28,MATCH('Comps Charts'!$B26,'Comparables Analysis'!$C$6:$C$28,0))</f>
        <v>5.484689067246367E-2</v>
      </c>
      <c r="W26" s="1" t="str">
        <f>INDEX(U$24:U$26,MATCH(X26,V$24:V$26,0))</f>
        <v>Eaton</v>
      </c>
      <c r="X26" s="87">
        <f>LARGE(V$24:V$26,$C26)</f>
        <v>5.1970073187891618E-2</v>
      </c>
      <c r="Y26" s="87">
        <f>AVERAGE($V$24:$V$26)</f>
        <v>6.3358383905834148E-2</v>
      </c>
      <c r="Z26" s="87">
        <f>MEDIAN($V$24:$V$26)</f>
        <v>5.484689067246367E-2</v>
      </c>
      <c r="AC26" s="1" t="str">
        <f>U26</f>
        <v>TE Connectivity</v>
      </c>
      <c r="AD26" s="87">
        <f>INDEX('Comparables Analysis'!CD$6:CD$28,MATCH('Comps Charts'!$B26,'Comparables Analysis'!$C$6:$C$28,0))</f>
        <v>0.32944552400420563</v>
      </c>
      <c r="AE26" s="1" t="str">
        <f>INDEX(AC$24:AC$26,MATCH(AF26,AD$24:AD$26,0))</f>
        <v>Amphenol</v>
      </c>
      <c r="AF26" s="87">
        <f>LARGE(AD$24:AD$26,$C26)</f>
        <v>0.31873331208693162</v>
      </c>
      <c r="AG26" s="87">
        <f>AVERAGE($AD$24:$AD$26)</f>
        <v>0.3322704332668473</v>
      </c>
      <c r="AH26" s="87">
        <f>MEDIAN($AD$24:$AD$26)</f>
        <v>0.32944552400420563</v>
      </c>
      <c r="AK26" s="1"/>
      <c r="AL26" s="87"/>
      <c r="AM26" s="1"/>
      <c r="AN26" s="1" t="str">
        <f>AC26</f>
        <v>TE Connectivity</v>
      </c>
      <c r="AO26" s="87">
        <f>INDEX('Comparables Analysis'!CO$6:CO$28,MATCH('Comps Charts'!$B26,'Comparables Analysis'!$C$6:$C$28,0))</f>
        <v>0.23184828323278267</v>
      </c>
      <c r="AP26" s="1" t="str">
        <f>INDEX(AN$24:AN$26,MATCH(AQ26,AO$24:AO$26,0))</f>
        <v>Eaton</v>
      </c>
      <c r="AQ26" s="87">
        <f>LARGE(AO$24:AO$26,$C26)</f>
        <v>0.20548211640724989</v>
      </c>
      <c r="AR26" s="87">
        <f>AVERAGE($AO$24:$AO$26)</f>
        <v>0.2255898638803393</v>
      </c>
      <c r="AS26" s="87">
        <f>MEDIAN($AO$24:$AO$26)</f>
        <v>0.23184828323278267</v>
      </c>
    </row>
    <row r="56" spans="2:10" x14ac:dyDescent="0.25">
      <c r="B56" t="s">
        <v>625</v>
      </c>
      <c r="J56" t="s">
        <v>627</v>
      </c>
    </row>
    <row r="57" spans="2:10" x14ac:dyDescent="0.25">
      <c r="C57" s="473">
        <v>2019</v>
      </c>
      <c r="D57" s="473">
        <f>C57+1</f>
        <v>2020</v>
      </c>
      <c r="E57" s="473">
        <f>D57+1</f>
        <v>2021</v>
      </c>
      <c r="F57" s="474">
        <f>E57+1</f>
        <v>2022</v>
      </c>
      <c r="G57" s="474">
        <f>F57+1</f>
        <v>2023</v>
      </c>
      <c r="H57" s="474">
        <f>G57+1</f>
        <v>2024</v>
      </c>
      <c r="J57" t="s">
        <v>628</v>
      </c>
    </row>
    <row r="58" spans="2:10" x14ac:dyDescent="0.25">
      <c r="C58" s="473"/>
      <c r="D58" s="473"/>
      <c r="E58" s="473"/>
      <c r="F58" s="474"/>
      <c r="G58" s="474"/>
      <c r="H58" s="474"/>
    </row>
    <row r="59" spans="2:10" x14ac:dyDescent="0.25">
      <c r="B59" t="s">
        <v>476</v>
      </c>
      <c r="C59" s="473"/>
      <c r="D59" s="473"/>
      <c r="E59" s="473"/>
      <c r="F59" s="474"/>
      <c r="G59" s="474"/>
      <c r="H59" s="474"/>
    </row>
    <row r="60" spans="2:10" x14ac:dyDescent="0.25">
      <c r="B60" t="s">
        <v>29</v>
      </c>
      <c r="C60">
        <f>'Comparables Analysis'!J6</f>
        <v>144.49600000000001</v>
      </c>
      <c r="D60">
        <f>'Comparables Analysis'!K6</f>
        <v>176</v>
      </c>
      <c r="E60">
        <f>'Comparables Analysis'!L6</f>
        <v>213</v>
      </c>
      <c r="F60">
        <f>'Comparables Analysis'!M6</f>
        <v>313</v>
      </c>
      <c r="G60">
        <f>'Comparables Analysis'!N6</f>
        <v>502</v>
      </c>
      <c r="H60">
        <f>'Comparables Analysis'!O6</f>
        <v>692</v>
      </c>
    </row>
    <row r="62" spans="2:10" x14ac:dyDescent="0.25">
      <c r="B62" t="s">
        <v>626</v>
      </c>
      <c r="C62">
        <f>IS!E19</f>
        <v>9.0649999999999995</v>
      </c>
      <c r="D62">
        <f>IS!F19</f>
        <v>21.007999999999999</v>
      </c>
      <c r="E62">
        <f>IS!G19</f>
        <v>37.893000000000001</v>
      </c>
      <c r="F62">
        <v>57</v>
      </c>
      <c r="G62">
        <v>67</v>
      </c>
      <c r="H62">
        <v>59</v>
      </c>
    </row>
    <row r="63" spans="2:10" x14ac:dyDescent="0.25">
      <c r="B63" t="s">
        <v>95</v>
      </c>
      <c r="C63" s="379">
        <f t="shared" ref="C63:H63" si="2">C62/C60</f>
        <v>6.2735300631159327E-2</v>
      </c>
      <c r="D63" s="379">
        <f t="shared" si="2"/>
        <v>0.11936363636363635</v>
      </c>
      <c r="E63" s="379">
        <f t="shared" si="2"/>
        <v>0.17790140845070423</v>
      </c>
      <c r="F63" s="379">
        <f t="shared" si="2"/>
        <v>0.18210862619808307</v>
      </c>
      <c r="G63" s="379">
        <f t="shared" si="2"/>
        <v>0.13346613545816732</v>
      </c>
      <c r="H63" s="379">
        <f t="shared" si="2"/>
        <v>8.5260115606936415E-2</v>
      </c>
      <c r="J63" s="475">
        <v>0.124</v>
      </c>
    </row>
    <row r="68" spans="11:11" x14ac:dyDescent="0.25">
      <c r="K68" s="52">
        <f>H63/E63-1</f>
        <v>-0.52074513434466907</v>
      </c>
    </row>
    <row r="69" spans="11:11" x14ac:dyDescent="0.25">
      <c r="K69" s="52"/>
    </row>
    <row r="70" spans="11:11" x14ac:dyDescent="0.25">
      <c r="K70" s="52"/>
    </row>
    <row r="71" spans="11:11" x14ac:dyDescent="0.25">
      <c r="K71" s="52"/>
    </row>
    <row r="72" spans="11:11" x14ac:dyDescent="0.25">
      <c r="K72" s="52"/>
    </row>
    <row r="73" spans="11:11" x14ac:dyDescent="0.25">
      <c r="K73" s="52"/>
    </row>
    <row r="74" spans="11:11" x14ac:dyDescent="0.25">
      <c r="K74" s="52">
        <f>J63/H63-1</f>
        <v>0.45437288135593223</v>
      </c>
    </row>
    <row r="75" spans="11:11" x14ac:dyDescent="0.25">
      <c r="K75" s="52"/>
    </row>
    <row r="76" spans="11:11" x14ac:dyDescent="0.25">
      <c r="K76" s="52"/>
    </row>
  </sheetData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5D3D7-91F1-4B7A-A1B3-94E079F4EF12}">
  <sheetPr>
    <tabColor theme="1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FD27A-80F1-4117-899F-50E7ADE9022A}">
  <sheetPr>
    <tabColor theme="9" tint="0.39997558519241921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72B72-7864-4AA5-A4BD-44B6E306E93D}">
  <sheetPr>
    <tabColor theme="9" tint="0.39997558519241921"/>
  </sheetPr>
  <dimension ref="B3:L22"/>
  <sheetViews>
    <sheetView workbookViewId="0">
      <selection activeCell="G26" sqref="G26"/>
    </sheetView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435</v>
      </c>
    </row>
    <row r="6" spans="2:12" x14ac:dyDescent="0.2">
      <c r="B6" s="1" t="s">
        <v>6</v>
      </c>
      <c r="C6" s="45">
        <v>14.97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135.69999999999999</v>
      </c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B12" s="1" t="s">
        <v>26</v>
      </c>
      <c r="D12" s="23"/>
      <c r="F12" s="1">
        <f>IF(E12&gt;$C$6,0,1)</f>
        <v>1</v>
      </c>
      <c r="G12" s="1">
        <f>F12*E12*D12</f>
        <v>0</v>
      </c>
      <c r="I12" s="1" t="str">
        <f>"Current Price (as of "&amp;TEXT(C7,"m/d/yy")&amp;")"</f>
        <v>Current Price (as of 10/28/22)</v>
      </c>
      <c r="L12" s="19">
        <f>C6</f>
        <v>14.97</v>
      </c>
    </row>
    <row r="13" spans="2:12" x14ac:dyDescent="0.2">
      <c r="B13" s="1" t="s">
        <v>27</v>
      </c>
      <c r="D13" s="23"/>
      <c r="G13" s="1">
        <f>F13*E13*D13</f>
        <v>0</v>
      </c>
      <c r="I13" s="15" t="s">
        <v>71</v>
      </c>
      <c r="J13" s="15"/>
      <c r="K13" s="15"/>
      <c r="L13" s="16">
        <v>0</v>
      </c>
    </row>
    <row r="14" spans="2:12" x14ac:dyDescent="0.2">
      <c r="I14" s="1" t="s">
        <v>21</v>
      </c>
      <c r="L14" s="19">
        <f>L12*(1+L13)</f>
        <v>14.97</v>
      </c>
    </row>
    <row r="15" spans="2:12" x14ac:dyDescent="0.2">
      <c r="B15" s="13" t="s">
        <v>13</v>
      </c>
      <c r="C15" s="13"/>
      <c r="D15" s="24">
        <f>SUM(D12:D14)</f>
        <v>0</v>
      </c>
      <c r="E15" s="13"/>
      <c r="F15" s="13"/>
      <c r="G15" s="13">
        <f>SUM(G12:G14)</f>
        <v>0</v>
      </c>
      <c r="I15" s="1" t="s">
        <v>19</v>
      </c>
      <c r="L15" s="8">
        <f>G20</f>
        <v>135.69999999999999</v>
      </c>
    </row>
    <row r="16" spans="2:12" ht="15" x14ac:dyDescent="0.25">
      <c r="B16" s="1" t="s">
        <v>14</v>
      </c>
      <c r="D16" s="23">
        <f>SUMPRODUCT(D12:D14,F12:F14)</f>
        <v>0</v>
      </c>
      <c r="I16" s="14" t="s">
        <v>22</v>
      </c>
      <c r="J16" s="14"/>
      <c r="K16" s="14"/>
      <c r="L16" s="27">
        <f>L14*L15</f>
        <v>2031.4289999999999</v>
      </c>
    </row>
    <row r="17" spans="2:12" x14ac:dyDescent="0.2">
      <c r="I17" s="1" t="s">
        <v>23</v>
      </c>
      <c r="L17" s="72">
        <v>196.81</v>
      </c>
    </row>
    <row r="18" spans="2:12" x14ac:dyDescent="0.2">
      <c r="B18" s="1" t="s">
        <v>15</v>
      </c>
      <c r="G18" s="23">
        <f>G15/C6</f>
        <v>0</v>
      </c>
      <c r="I18" s="1" t="s">
        <v>28</v>
      </c>
      <c r="L18" s="72">
        <v>0.63</v>
      </c>
    </row>
    <row r="19" spans="2:12" x14ac:dyDescent="0.2">
      <c r="B19" s="1" t="s">
        <v>16</v>
      </c>
      <c r="G19" s="23">
        <f>D16-G18</f>
        <v>0</v>
      </c>
      <c r="I19" s="1" t="s">
        <v>74</v>
      </c>
      <c r="L19" s="72">
        <v>0</v>
      </c>
    </row>
    <row r="20" spans="2:12" ht="15" x14ac:dyDescent="0.25">
      <c r="B20" s="14" t="s">
        <v>17</v>
      </c>
      <c r="C20" s="14"/>
      <c r="D20" s="14"/>
      <c r="E20" s="14"/>
      <c r="F20" s="14"/>
      <c r="G20" s="26">
        <f>C8+G19</f>
        <v>135.69999999999999</v>
      </c>
      <c r="I20" s="1" t="s">
        <v>72</v>
      </c>
      <c r="L20" s="72">
        <v>-0.08</v>
      </c>
    </row>
    <row r="21" spans="2:12" ht="15" x14ac:dyDescent="0.25">
      <c r="H21" s="73"/>
      <c r="I21" s="1" t="s">
        <v>24</v>
      </c>
      <c r="L21" s="72">
        <v>-193.53</v>
      </c>
    </row>
    <row r="22" spans="2:12" ht="15" x14ac:dyDescent="0.25">
      <c r="I22" s="14" t="s">
        <v>25</v>
      </c>
      <c r="J22" s="14"/>
      <c r="K22" s="14"/>
      <c r="L22" s="27">
        <f>SUM(L16:L21)</f>
        <v>2035.2590000000002</v>
      </c>
    </row>
  </sheetData>
  <pageMargins left="0.7" right="0.7" top="0.75" bottom="0.75" header="0.3" footer="0.3"/>
  <pageSetup orientation="portrait" r:id="rId1"/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1ED25-4500-4C53-90E9-B1B6A95A38FF}">
  <sheetPr>
    <tabColor theme="9" tint="0.39997558519241921"/>
  </sheetPr>
  <dimension ref="B3:L22"/>
  <sheetViews>
    <sheetView workbookViewId="0"/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73</v>
      </c>
    </row>
    <row r="6" spans="2:12" x14ac:dyDescent="0.2">
      <c r="B6" s="1" t="s">
        <v>6</v>
      </c>
      <c r="C6" s="45">
        <v>16.03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150.32631699999999</v>
      </c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B12" s="1" t="s">
        <v>26</v>
      </c>
      <c r="D12" s="23">
        <v>1.7528459999999999</v>
      </c>
      <c r="F12" s="1">
        <f>IF(E12&gt;$C$6,0,1)</f>
        <v>1</v>
      </c>
      <c r="G12" s="1">
        <f>F12*E12*D12</f>
        <v>0</v>
      </c>
      <c r="I12" s="1" t="str">
        <f>"Current Price (as of "&amp;TEXT(C7,"m/d/yy")&amp;")"</f>
        <v>Current Price (as of 10/28/22)</v>
      </c>
      <c r="L12" s="19">
        <f>C6</f>
        <v>16.03</v>
      </c>
    </row>
    <row r="13" spans="2:12" x14ac:dyDescent="0.2">
      <c r="B13" s="1" t="s">
        <v>27</v>
      </c>
      <c r="D13" s="23">
        <v>0.41825800000000002</v>
      </c>
      <c r="G13" s="1">
        <f>F13*E13*D13</f>
        <v>0</v>
      </c>
      <c r="I13" s="15" t="s">
        <v>71</v>
      </c>
      <c r="J13" s="15"/>
      <c r="K13" s="15"/>
      <c r="L13" s="16">
        <v>0</v>
      </c>
    </row>
    <row r="14" spans="2:12" x14ac:dyDescent="0.2">
      <c r="I14" s="1" t="s">
        <v>21</v>
      </c>
      <c r="L14" s="19">
        <f>L12*(1+L13)</f>
        <v>16.03</v>
      </c>
    </row>
    <row r="15" spans="2:12" x14ac:dyDescent="0.2">
      <c r="B15" s="13" t="s">
        <v>13</v>
      </c>
      <c r="C15" s="13"/>
      <c r="D15" s="24">
        <f>SUM(D12:D14)</f>
        <v>2.1711039999999997</v>
      </c>
      <c r="E15" s="13"/>
      <c r="F15" s="13"/>
      <c r="G15" s="13">
        <f>SUM(G12:G14)</f>
        <v>0</v>
      </c>
      <c r="I15" s="1" t="s">
        <v>19</v>
      </c>
      <c r="L15" s="8">
        <f>G20</f>
        <v>152.07916299999999</v>
      </c>
    </row>
    <row r="16" spans="2:12" ht="15" x14ac:dyDescent="0.25">
      <c r="B16" s="1" t="s">
        <v>14</v>
      </c>
      <c r="D16" s="23">
        <f>SUMPRODUCT(D12:D14,F12:F14)</f>
        <v>1.7528459999999999</v>
      </c>
      <c r="I16" s="14" t="s">
        <v>22</v>
      </c>
      <c r="J16" s="14"/>
      <c r="K16" s="14"/>
      <c r="L16" s="27">
        <f>L14*L15</f>
        <v>2437.8289828900001</v>
      </c>
    </row>
    <row r="17" spans="2:12" x14ac:dyDescent="0.2">
      <c r="I17" s="1" t="s">
        <v>23</v>
      </c>
      <c r="L17" s="47">
        <f>793.557+51.494</f>
        <v>845.05100000000004</v>
      </c>
    </row>
    <row r="18" spans="2:12" x14ac:dyDescent="0.2">
      <c r="B18" s="1" t="s">
        <v>15</v>
      </c>
      <c r="G18" s="23">
        <f>G15/C6</f>
        <v>0</v>
      </c>
      <c r="I18" s="1" t="s">
        <v>28</v>
      </c>
      <c r="L18" s="47"/>
    </row>
    <row r="19" spans="2:12" x14ac:dyDescent="0.2">
      <c r="B19" s="1" t="s">
        <v>16</v>
      </c>
      <c r="G19" s="23">
        <f>D16-G18</f>
        <v>1.7528459999999999</v>
      </c>
      <c r="I19" s="1" t="s">
        <v>74</v>
      </c>
      <c r="L19" s="47">
        <v>412.61</v>
      </c>
    </row>
    <row r="20" spans="2:12" ht="15" x14ac:dyDescent="0.25">
      <c r="B20" s="14" t="s">
        <v>17</v>
      </c>
      <c r="C20" s="14"/>
      <c r="D20" s="14"/>
      <c r="E20" s="14"/>
      <c r="F20" s="14"/>
      <c r="G20" s="26">
        <f>C8+G19</f>
        <v>152.07916299999999</v>
      </c>
      <c r="I20" s="1" t="s">
        <v>72</v>
      </c>
      <c r="L20" s="47"/>
    </row>
    <row r="21" spans="2:12" ht="15" x14ac:dyDescent="0.25">
      <c r="H21" s="73"/>
      <c r="I21" s="1" t="s">
        <v>24</v>
      </c>
      <c r="L21" s="47">
        <v>-51.045999999999999</v>
      </c>
    </row>
    <row r="22" spans="2:12" ht="15" x14ac:dyDescent="0.25">
      <c r="I22" s="14" t="s">
        <v>25</v>
      </c>
      <c r="J22" s="14"/>
      <c r="K22" s="14"/>
      <c r="L22" s="27">
        <f>SUM(L16:L21)</f>
        <v>3644.4439828900004</v>
      </c>
    </row>
  </sheetData>
  <pageMargins left="0.7" right="0.7" top="0.75" bottom="0.75" header="0.3" footer="0.3"/>
  <pageSetup orientation="portrait" r:id="rId1"/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0DBF5-855D-4CA5-BFF0-CD9EE1B741BB}">
  <sheetPr>
    <tabColor theme="9" tint="0.39997558519241921"/>
  </sheetPr>
  <dimension ref="B3:L22"/>
  <sheetViews>
    <sheetView workbookViewId="0"/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436</v>
      </c>
    </row>
    <row r="6" spans="2:12" x14ac:dyDescent="0.2">
      <c r="B6" s="1" t="s">
        <v>6</v>
      </c>
      <c r="C6" s="45">
        <v>4.18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90.95</v>
      </c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B12" s="1" t="s">
        <v>26</v>
      </c>
      <c r="D12" s="23"/>
      <c r="F12" s="1">
        <f>IF(E12&gt;$C$6,0,1)</f>
        <v>1</v>
      </c>
      <c r="G12" s="1">
        <f>F12*E12*D12</f>
        <v>0</v>
      </c>
      <c r="I12" s="1" t="str">
        <f>"Current Price (as of "&amp;TEXT(C7,"m/d/yy")&amp;")"</f>
        <v>Current Price (as of 10/28/22)</v>
      </c>
      <c r="L12" s="19">
        <f>C6</f>
        <v>4.18</v>
      </c>
    </row>
    <row r="13" spans="2:12" x14ac:dyDescent="0.2">
      <c r="B13" s="1" t="s">
        <v>27</v>
      </c>
      <c r="D13" s="23"/>
      <c r="G13" s="1">
        <f>F13*E13*D13</f>
        <v>0</v>
      </c>
      <c r="I13" s="15" t="s">
        <v>71</v>
      </c>
      <c r="J13" s="15"/>
      <c r="K13" s="15"/>
      <c r="L13" s="16">
        <v>0</v>
      </c>
    </row>
    <row r="14" spans="2:12" x14ac:dyDescent="0.2">
      <c r="I14" s="1" t="s">
        <v>21</v>
      </c>
      <c r="L14" s="19">
        <f>L12*(1+L13)</f>
        <v>4.18</v>
      </c>
    </row>
    <row r="15" spans="2:12" x14ac:dyDescent="0.2">
      <c r="B15" s="13" t="s">
        <v>13</v>
      </c>
      <c r="C15" s="13"/>
      <c r="D15" s="24">
        <f>SUM(D12:D14)</f>
        <v>0</v>
      </c>
      <c r="E15" s="13"/>
      <c r="F15" s="13"/>
      <c r="G15" s="13">
        <f>SUM(G12:G14)</f>
        <v>0</v>
      </c>
      <c r="I15" s="1" t="s">
        <v>19</v>
      </c>
      <c r="L15" s="8">
        <f>G20</f>
        <v>90.95</v>
      </c>
    </row>
    <row r="16" spans="2:12" ht="15" x14ac:dyDescent="0.25">
      <c r="B16" s="1" t="s">
        <v>14</v>
      </c>
      <c r="D16" s="23">
        <f>SUMPRODUCT(D12:D14,F12:F14)</f>
        <v>0</v>
      </c>
      <c r="I16" s="14" t="s">
        <v>22</v>
      </c>
      <c r="J16" s="14"/>
      <c r="K16" s="14"/>
      <c r="L16" s="27">
        <f>L14*L15</f>
        <v>380.17099999999999</v>
      </c>
    </row>
    <row r="17" spans="2:12" x14ac:dyDescent="0.2">
      <c r="I17" s="1" t="s">
        <v>23</v>
      </c>
      <c r="L17" s="72">
        <v>159.37</v>
      </c>
    </row>
    <row r="18" spans="2:12" x14ac:dyDescent="0.2">
      <c r="B18" s="1" t="s">
        <v>15</v>
      </c>
      <c r="G18" s="23">
        <f>G15/C6</f>
        <v>0</v>
      </c>
      <c r="I18" s="1" t="s">
        <v>28</v>
      </c>
      <c r="L18" s="72">
        <v>-0.04</v>
      </c>
    </row>
    <row r="19" spans="2:12" x14ac:dyDescent="0.2">
      <c r="B19" s="1" t="s">
        <v>16</v>
      </c>
      <c r="G19" s="23">
        <f>D16-G18</f>
        <v>0</v>
      </c>
      <c r="I19" s="1" t="s">
        <v>74</v>
      </c>
      <c r="L19" s="72">
        <v>0</v>
      </c>
    </row>
    <row r="20" spans="2:12" ht="15" x14ac:dyDescent="0.25">
      <c r="B20" s="14" t="s">
        <v>17</v>
      </c>
      <c r="C20" s="14"/>
      <c r="D20" s="14"/>
      <c r="E20" s="14"/>
      <c r="F20" s="14"/>
      <c r="G20" s="26">
        <f>C8+G19</f>
        <v>90.95</v>
      </c>
      <c r="I20" s="1" t="s">
        <v>72</v>
      </c>
      <c r="L20" s="72">
        <v>-27.79</v>
      </c>
    </row>
    <row r="21" spans="2:12" ht="15" x14ac:dyDescent="0.25">
      <c r="H21" s="73"/>
      <c r="I21" s="1" t="s">
        <v>24</v>
      </c>
      <c r="L21" s="72">
        <v>-31.28</v>
      </c>
    </row>
    <row r="22" spans="2:12" ht="15" x14ac:dyDescent="0.25">
      <c r="I22" s="14" t="s">
        <v>25</v>
      </c>
      <c r="J22" s="14"/>
      <c r="K22" s="14"/>
      <c r="L22" s="27">
        <f>SUM(L16:L21)</f>
        <v>480.43099999999993</v>
      </c>
    </row>
  </sheetData>
  <pageMargins left="0.7" right="0.7" top="0.75" bottom="0.75" header="0.3" footer="0.3"/>
  <pageSetup orientation="portrait" r:id="rId1"/>
  <legacy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95101-CD1B-49CD-9F11-8265DEAF727A}">
  <sheetPr>
    <tabColor theme="9" tint="-0.249977111117893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E9BFB-E9CC-41A4-BC4D-2A98E38DF163}">
  <sheetPr>
    <tabColor theme="9" tint="-0.249977111117893"/>
  </sheetPr>
  <dimension ref="B3:L30"/>
  <sheetViews>
    <sheetView workbookViewId="0"/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437</v>
      </c>
    </row>
    <row r="6" spans="2:12" x14ac:dyDescent="0.2">
      <c r="B6" s="1" t="s">
        <v>6</v>
      </c>
      <c r="C6" s="45">
        <v>305.25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135.92357200000001</v>
      </c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B12" s="1" t="s">
        <v>438</v>
      </c>
      <c r="D12" s="74">
        <v>0.46</v>
      </c>
      <c r="E12" s="74">
        <v>0.91</v>
      </c>
      <c r="F12" s="1">
        <f>IF(E12&gt;$C$6,0,1)</f>
        <v>1</v>
      </c>
      <c r="G12" s="74">
        <f>F12*E12*D12</f>
        <v>0.41860000000000003</v>
      </c>
      <c r="I12" s="1" t="str">
        <f>"Current Price (as of "&amp;TEXT(C7,"m/d/yy")&amp;")"</f>
        <v>Current Price (as of 10/28/22)</v>
      </c>
      <c r="L12" s="19">
        <f>C6</f>
        <v>305.25</v>
      </c>
    </row>
    <row r="13" spans="2:12" x14ac:dyDescent="0.2">
      <c r="B13" s="1" t="s">
        <v>439</v>
      </c>
      <c r="D13" s="74">
        <v>1</v>
      </c>
      <c r="E13" s="74">
        <v>1.29</v>
      </c>
      <c r="F13" s="1">
        <f t="shared" ref="F13:F18" si="0">IF(E13&gt;$C$6,0,1)</f>
        <v>1</v>
      </c>
      <c r="G13" s="74">
        <f t="shared" ref="G13:G18" si="1">F13*E13*D13</f>
        <v>1.29</v>
      </c>
      <c r="I13" s="15" t="s">
        <v>71</v>
      </c>
      <c r="J13" s="15"/>
      <c r="K13" s="15"/>
      <c r="L13" s="16">
        <v>0</v>
      </c>
    </row>
    <row r="14" spans="2:12" x14ac:dyDescent="0.2">
      <c r="B14" s="1" t="s">
        <v>440</v>
      </c>
      <c r="D14" s="74">
        <v>0.19600000000000001</v>
      </c>
      <c r="E14" s="74">
        <v>2.76</v>
      </c>
      <c r="F14" s="1">
        <f t="shared" si="0"/>
        <v>1</v>
      </c>
      <c r="G14" s="74">
        <f t="shared" si="1"/>
        <v>0.54096</v>
      </c>
      <c r="I14" s="1" t="s">
        <v>21</v>
      </c>
      <c r="L14" s="19">
        <f>L12*(1+L13)</f>
        <v>305.25</v>
      </c>
    </row>
    <row r="15" spans="2:12" x14ac:dyDescent="0.2">
      <c r="B15" s="1" t="s">
        <v>441</v>
      </c>
      <c r="D15" s="74">
        <v>0.2</v>
      </c>
      <c r="E15" s="74">
        <v>14.58</v>
      </c>
      <c r="F15" s="1">
        <f t="shared" si="0"/>
        <v>1</v>
      </c>
      <c r="G15" s="74">
        <f t="shared" si="1"/>
        <v>2.9160000000000004</v>
      </c>
      <c r="I15" s="1" t="s">
        <v>19</v>
      </c>
      <c r="L15" s="8">
        <f>G30</f>
        <v>142.19965700903745</v>
      </c>
    </row>
    <row r="16" spans="2:12" ht="15" x14ac:dyDescent="0.25">
      <c r="B16" s="1" t="s">
        <v>442</v>
      </c>
      <c r="D16" s="74">
        <v>7.0000000000000007E-2</v>
      </c>
      <c r="E16" s="74">
        <v>64.17</v>
      </c>
      <c r="F16" s="1">
        <f t="shared" si="0"/>
        <v>1</v>
      </c>
      <c r="G16" s="74">
        <f t="shared" si="1"/>
        <v>4.4919000000000002</v>
      </c>
      <c r="I16" s="14" t="s">
        <v>22</v>
      </c>
      <c r="J16" s="14"/>
      <c r="K16" s="14"/>
      <c r="L16" s="27">
        <f>L14*L15</f>
        <v>43406.44530200868</v>
      </c>
    </row>
    <row r="17" spans="2:12" x14ac:dyDescent="0.2">
      <c r="B17" s="1" t="s">
        <v>26</v>
      </c>
      <c r="D17" s="74">
        <v>2.1720000000000002</v>
      </c>
      <c r="E17" s="74"/>
      <c r="F17" s="1">
        <f t="shared" si="0"/>
        <v>1</v>
      </c>
      <c r="G17" s="74">
        <f t="shared" si="1"/>
        <v>0</v>
      </c>
      <c r="I17" s="1" t="s">
        <v>23</v>
      </c>
      <c r="L17" s="72">
        <f>1198.627+89.654</f>
        <v>1288.2809999999999</v>
      </c>
    </row>
    <row r="18" spans="2:12" x14ac:dyDescent="0.2">
      <c r="B18" s="1" t="s">
        <v>27</v>
      </c>
      <c r="D18" s="74">
        <v>0.35499999999999998</v>
      </c>
      <c r="E18" s="74"/>
      <c r="F18" s="1">
        <f t="shared" si="0"/>
        <v>1</v>
      </c>
      <c r="G18" s="74">
        <f t="shared" si="1"/>
        <v>0</v>
      </c>
      <c r="I18" s="1" t="s">
        <v>443</v>
      </c>
      <c r="L18" s="72">
        <f>-(102.175+5)</f>
        <v>-107.175</v>
      </c>
    </row>
    <row r="19" spans="2:12" x14ac:dyDescent="0.2">
      <c r="D19" s="74"/>
      <c r="E19" s="74"/>
      <c r="F19" s="74"/>
      <c r="G19" s="74"/>
      <c r="I19" s="1" t="s">
        <v>28</v>
      </c>
      <c r="L19" s="72"/>
    </row>
    <row r="20" spans="2:12" ht="15" x14ac:dyDescent="0.25">
      <c r="B20" s="75" t="s">
        <v>444</v>
      </c>
      <c r="C20" s="75" t="s">
        <v>445</v>
      </c>
      <c r="D20" s="76" t="s">
        <v>446</v>
      </c>
      <c r="E20" s="76" t="s">
        <v>6</v>
      </c>
      <c r="F20" s="74"/>
      <c r="G20" s="74"/>
      <c r="I20" s="1" t="s">
        <v>74</v>
      </c>
      <c r="L20" s="72"/>
    </row>
    <row r="21" spans="2:12" ht="15" x14ac:dyDescent="0.25">
      <c r="D21" s="74"/>
      <c r="E21" s="74"/>
      <c r="F21" s="74"/>
      <c r="G21" s="74"/>
      <c r="H21" s="73"/>
      <c r="I21" s="1" t="s">
        <v>72</v>
      </c>
      <c r="L21" s="72"/>
    </row>
    <row r="22" spans="2:12" x14ac:dyDescent="0.2">
      <c r="B22" s="1" t="s">
        <v>447</v>
      </c>
      <c r="C22" s="1">
        <v>102.175</v>
      </c>
      <c r="D22" s="74">
        <f>IFERROR(C22/E22*F22,0)</f>
        <v>0.95544230409575459</v>
      </c>
      <c r="E22" s="74">
        <v>106.94</v>
      </c>
      <c r="F22" s="1">
        <f>IF(E22&gt;$C$6,0,1)</f>
        <v>1</v>
      </c>
      <c r="G22" s="74"/>
      <c r="I22" s="1" t="s">
        <v>24</v>
      </c>
      <c r="L22" s="72">
        <f>-(337.583+1079.713)</f>
        <v>-1417.296</v>
      </c>
    </row>
    <row r="23" spans="2:12" ht="15" x14ac:dyDescent="0.25">
      <c r="B23" s="1" t="s">
        <v>448</v>
      </c>
      <c r="C23" s="1">
        <v>5</v>
      </c>
      <c r="D23" s="74">
        <f>IFERROR(C23/E23*F23,0)</f>
        <v>0.89928057553956842</v>
      </c>
      <c r="E23" s="74">
        <v>5.56</v>
      </c>
      <c r="F23" s="1">
        <f>IF(E23&gt;$C$6,0,1)</f>
        <v>1</v>
      </c>
      <c r="G23" s="74"/>
      <c r="I23" s="14" t="s">
        <v>25</v>
      </c>
      <c r="J23" s="14"/>
      <c r="K23" s="14"/>
      <c r="L23" s="27">
        <f>SUM(L16:L22)</f>
        <v>43170.255302008678</v>
      </c>
    </row>
    <row r="24" spans="2:12" x14ac:dyDescent="0.2">
      <c r="D24" s="74"/>
      <c r="E24" s="74"/>
      <c r="F24" s="74"/>
      <c r="G24" s="74"/>
    </row>
    <row r="25" spans="2:12" x14ac:dyDescent="0.2">
      <c r="B25" s="13" t="s">
        <v>13</v>
      </c>
      <c r="C25" s="13"/>
      <c r="D25" s="77">
        <f>SUM(D12:D24)</f>
        <v>6.307722879635322</v>
      </c>
      <c r="E25" s="77"/>
      <c r="F25" s="77"/>
      <c r="G25" s="77">
        <f>SUM(G12:G24)</f>
        <v>9.6574600000000004</v>
      </c>
    </row>
    <row r="26" spans="2:12" x14ac:dyDescent="0.2">
      <c r="B26" s="1" t="s">
        <v>14</v>
      </c>
      <c r="D26" s="78">
        <f>SUMPRODUCT(D12:D24,F12:F24)</f>
        <v>6.307722879635322</v>
      </c>
      <c r="E26" s="74"/>
      <c r="F26" s="74"/>
      <c r="G26" s="74"/>
    </row>
    <row r="27" spans="2:12" x14ac:dyDescent="0.2">
      <c r="D27" s="74"/>
      <c r="E27" s="74"/>
      <c r="F27" s="74"/>
      <c r="G27" s="74"/>
    </row>
    <row r="28" spans="2:12" x14ac:dyDescent="0.2">
      <c r="B28" s="1" t="s">
        <v>15</v>
      </c>
      <c r="D28" s="74"/>
      <c r="E28" s="74"/>
      <c r="F28" s="74"/>
      <c r="G28" s="78">
        <f>G25/C6</f>
        <v>3.1637870597870599E-2</v>
      </c>
    </row>
    <row r="29" spans="2:12" x14ac:dyDescent="0.2">
      <c r="B29" s="1" t="s">
        <v>16</v>
      </c>
      <c r="D29" s="74"/>
      <c r="E29" s="74"/>
      <c r="F29" s="74"/>
      <c r="G29" s="78">
        <f>D26-G28</f>
        <v>6.2760850090374518</v>
      </c>
    </row>
    <row r="30" spans="2:12" ht="15" x14ac:dyDescent="0.25">
      <c r="B30" s="14" t="s">
        <v>17</v>
      </c>
      <c r="C30" s="14"/>
      <c r="D30" s="79"/>
      <c r="E30" s="79"/>
      <c r="F30" s="79"/>
      <c r="G30" s="79">
        <f>C8+G29</f>
        <v>142.19965700903745</v>
      </c>
    </row>
  </sheetData>
  <pageMargins left="0.7" right="0.7" top="0.75" bottom="0.75" header="0.3" footer="0.3"/>
  <pageSetup orientation="portrait" r:id="rId1"/>
  <legacy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3F6FA-3870-44F0-A250-B1ABC9656971}">
  <sheetPr>
    <tabColor theme="9" tint="-0.249977111117893"/>
  </sheetPr>
  <dimension ref="B3:O30"/>
  <sheetViews>
    <sheetView workbookViewId="0"/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450</v>
      </c>
    </row>
    <row r="6" spans="2:12" x14ac:dyDescent="0.2">
      <c r="B6" s="1" t="s">
        <v>6</v>
      </c>
      <c r="C6" s="45">
        <v>116.7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63.830917999999997</v>
      </c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B12" s="1" t="s">
        <v>9</v>
      </c>
      <c r="D12" s="74">
        <v>1.342131</v>
      </c>
      <c r="E12" s="74">
        <v>64.290000000000006</v>
      </c>
      <c r="F12" s="1">
        <f>IF(E12&gt;$C$6,0,1)</f>
        <v>1</v>
      </c>
      <c r="G12" s="74">
        <f>F12*E12*D12</f>
        <v>86.285601990000004</v>
      </c>
      <c r="I12" s="1" t="str">
        <f>"Current Price (as of "&amp;TEXT(C7,"m/d/yy")&amp;")"</f>
        <v>Current Price (as of 10/28/22)</v>
      </c>
      <c r="L12" s="19">
        <f>C6</f>
        <v>116.7</v>
      </c>
    </row>
    <row r="13" spans="2:12" x14ac:dyDescent="0.2">
      <c r="B13" s="1" t="s">
        <v>26</v>
      </c>
      <c r="D13" s="74">
        <v>0.36499999999999999</v>
      </c>
      <c r="E13" s="74"/>
      <c r="F13" s="1">
        <f t="shared" ref="F13:F18" si="0">IF(E13&gt;$C$6,0,1)</f>
        <v>1</v>
      </c>
      <c r="G13" s="74">
        <f t="shared" ref="G13:G18" si="1">F13*E13*D13</f>
        <v>0</v>
      </c>
      <c r="I13" s="15" t="s">
        <v>71</v>
      </c>
      <c r="J13" s="15"/>
      <c r="K13" s="15"/>
      <c r="L13" s="16">
        <v>0</v>
      </c>
    </row>
    <row r="14" spans="2:12" x14ac:dyDescent="0.2">
      <c r="D14" s="74"/>
      <c r="E14" s="74"/>
      <c r="F14" s="1">
        <f t="shared" si="0"/>
        <v>1</v>
      </c>
      <c r="G14" s="74">
        <f t="shared" si="1"/>
        <v>0</v>
      </c>
      <c r="I14" s="1" t="s">
        <v>21</v>
      </c>
      <c r="L14" s="19">
        <f>L12*(1+L13)</f>
        <v>116.7</v>
      </c>
    </row>
    <row r="15" spans="2:12" x14ac:dyDescent="0.2">
      <c r="D15" s="74"/>
      <c r="E15" s="74"/>
      <c r="F15" s="1">
        <f t="shared" si="0"/>
        <v>1</v>
      </c>
      <c r="G15" s="74">
        <f t="shared" si="1"/>
        <v>0</v>
      </c>
      <c r="I15" s="1" t="s">
        <v>19</v>
      </c>
      <c r="L15" s="8">
        <f>G30</f>
        <v>64.798669377120817</v>
      </c>
    </row>
    <row r="16" spans="2:12" ht="15" x14ac:dyDescent="0.25">
      <c r="D16" s="74"/>
      <c r="E16" s="74"/>
      <c r="F16" s="1">
        <f t="shared" si="0"/>
        <v>1</v>
      </c>
      <c r="G16" s="74">
        <f t="shared" si="1"/>
        <v>0</v>
      </c>
      <c r="I16" s="14" t="s">
        <v>22</v>
      </c>
      <c r="J16" s="14"/>
      <c r="K16" s="14"/>
      <c r="L16" s="27">
        <f>L14*L15</f>
        <v>7562.0047163099998</v>
      </c>
    </row>
    <row r="17" spans="2:15" x14ac:dyDescent="0.2">
      <c r="D17" s="74"/>
      <c r="E17" s="74"/>
      <c r="F17" s="1">
        <f t="shared" si="0"/>
        <v>1</v>
      </c>
      <c r="G17" s="74">
        <f t="shared" si="1"/>
        <v>0</v>
      </c>
      <c r="I17" s="1" t="s">
        <v>23</v>
      </c>
      <c r="L17" s="72">
        <f>1290.17+77.514</f>
        <v>1367.684</v>
      </c>
      <c r="O17" s="80"/>
    </row>
    <row r="18" spans="2:15" x14ac:dyDescent="0.2">
      <c r="D18" s="74"/>
      <c r="E18" s="74"/>
      <c r="F18" s="1">
        <f t="shared" si="0"/>
        <v>1</v>
      </c>
      <c r="G18" s="74">
        <f t="shared" si="1"/>
        <v>0</v>
      </c>
      <c r="I18" s="1" t="s">
        <v>443</v>
      </c>
      <c r="L18" s="72"/>
    </row>
    <row r="19" spans="2:15" x14ac:dyDescent="0.2">
      <c r="D19" s="74"/>
      <c r="E19" s="74"/>
      <c r="F19" s="74"/>
      <c r="G19" s="74"/>
      <c r="I19" s="1" t="s">
        <v>28</v>
      </c>
      <c r="L19" s="72">
        <f>0.883+82.83</f>
        <v>83.712999999999994</v>
      </c>
    </row>
    <row r="20" spans="2:15" ht="15" x14ac:dyDescent="0.25">
      <c r="B20" s="75" t="s">
        <v>444</v>
      </c>
      <c r="C20" s="75" t="s">
        <v>445</v>
      </c>
      <c r="D20" s="76" t="s">
        <v>446</v>
      </c>
      <c r="E20" s="76" t="s">
        <v>6</v>
      </c>
      <c r="F20" s="74"/>
      <c r="G20" s="74"/>
      <c r="I20" s="1" t="s">
        <v>74</v>
      </c>
      <c r="L20" s="72"/>
    </row>
    <row r="21" spans="2:15" ht="15" x14ac:dyDescent="0.25">
      <c r="D21" s="74"/>
      <c r="E21" s="74"/>
      <c r="F21" s="74"/>
      <c r="G21" s="74"/>
      <c r="H21" s="73"/>
      <c r="I21" s="1" t="s">
        <v>72</v>
      </c>
      <c r="L21" s="72"/>
    </row>
    <row r="22" spans="2:15" x14ac:dyDescent="0.2">
      <c r="D22" s="74"/>
      <c r="E22" s="74"/>
      <c r="F22" s="1">
        <f>IF(E22&gt;$C$6,0,1)</f>
        <v>1</v>
      </c>
      <c r="G22" s="74"/>
      <c r="I22" s="1" t="s">
        <v>24</v>
      </c>
      <c r="L22" s="72">
        <v>-467.14</v>
      </c>
    </row>
    <row r="23" spans="2:15" ht="15" x14ac:dyDescent="0.25">
      <c r="D23" s="74"/>
      <c r="E23" s="74"/>
      <c r="F23" s="1">
        <f>IF(E23&gt;$C$6,0,1)</f>
        <v>1</v>
      </c>
      <c r="G23" s="74"/>
      <c r="I23" s="14" t="s">
        <v>25</v>
      </c>
      <c r="J23" s="14"/>
      <c r="K23" s="14"/>
      <c r="L23" s="27">
        <f>SUM(L16:L22)</f>
        <v>8546.2617163100003</v>
      </c>
    </row>
    <row r="24" spans="2:15" x14ac:dyDescent="0.2">
      <c r="D24" s="74"/>
      <c r="E24" s="74"/>
      <c r="F24" s="74"/>
      <c r="G24" s="74"/>
    </row>
    <row r="25" spans="2:15" x14ac:dyDescent="0.2">
      <c r="B25" s="13" t="s">
        <v>13</v>
      </c>
      <c r="C25" s="13"/>
      <c r="D25" s="77">
        <f>SUM(D12:D24)</f>
        <v>1.707131</v>
      </c>
      <c r="E25" s="77"/>
      <c r="F25" s="77"/>
      <c r="G25" s="77">
        <f>SUM(G12:G24)</f>
        <v>86.285601990000004</v>
      </c>
    </row>
    <row r="26" spans="2:15" x14ac:dyDescent="0.2">
      <c r="B26" s="1" t="s">
        <v>14</v>
      </c>
      <c r="D26" s="78">
        <f>SUMPRODUCT(D12:D24,F12:F24)</f>
        <v>1.707131</v>
      </c>
      <c r="E26" s="74"/>
      <c r="F26" s="74"/>
      <c r="G26" s="74"/>
    </row>
    <row r="27" spans="2:15" x14ac:dyDescent="0.2">
      <c r="D27" s="74"/>
      <c r="E27" s="74"/>
      <c r="F27" s="74"/>
      <c r="G27" s="74"/>
    </row>
    <row r="28" spans="2:15" x14ac:dyDescent="0.2">
      <c r="B28" s="1" t="s">
        <v>15</v>
      </c>
      <c r="D28" s="74"/>
      <c r="E28" s="74"/>
      <c r="F28" s="74"/>
      <c r="G28" s="78">
        <f>G25/C6</f>
        <v>0.73937962287917736</v>
      </c>
    </row>
    <row r="29" spans="2:15" x14ac:dyDescent="0.2">
      <c r="B29" s="1" t="s">
        <v>16</v>
      </c>
      <c r="D29" s="74"/>
      <c r="E29" s="74"/>
      <c r="F29" s="74"/>
      <c r="G29" s="78">
        <f>D26-G28</f>
        <v>0.9677513771208226</v>
      </c>
    </row>
    <row r="30" spans="2:15" ht="15" x14ac:dyDescent="0.25">
      <c r="B30" s="14" t="s">
        <v>17</v>
      </c>
      <c r="C30" s="14"/>
      <c r="D30" s="79"/>
      <c r="E30" s="79"/>
      <c r="F30" s="79"/>
      <c r="G30" s="79">
        <f>C8+G29</f>
        <v>64.798669377120817</v>
      </c>
    </row>
  </sheetData>
  <pageMargins left="0.7" right="0.7" top="0.75" bottom="0.75" header="0.3" footer="0.3"/>
  <pageSetup orientation="portrait" r:id="rId1"/>
  <legacy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1A0B4-C8FA-4D38-A8E2-E7AF306500D6}">
  <sheetPr>
    <tabColor theme="9" tint="-0.249977111117893"/>
  </sheetPr>
  <dimension ref="B3:O30"/>
  <sheetViews>
    <sheetView workbookViewId="0"/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451</v>
      </c>
    </row>
    <row r="6" spans="2:12" x14ac:dyDescent="0.2">
      <c r="B6" s="1" t="s">
        <v>6</v>
      </c>
      <c r="C6" s="45">
        <v>50.84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34.700000000000003</v>
      </c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B12" s="1" t="s">
        <v>9</v>
      </c>
      <c r="D12" s="74"/>
      <c r="E12" s="74"/>
      <c r="F12" s="1">
        <f>IF(E12&gt;$C$6,0,1)</f>
        <v>1</v>
      </c>
      <c r="G12" s="74">
        <f>F12*E12*D12</f>
        <v>0</v>
      </c>
      <c r="I12" s="1" t="str">
        <f>"Current Price (as of "&amp;TEXT(C7,"m/d/yy")&amp;")"</f>
        <v>Current Price (as of 10/28/22)</v>
      </c>
      <c r="L12" s="19">
        <f>C6</f>
        <v>50.84</v>
      </c>
    </row>
    <row r="13" spans="2:12" x14ac:dyDescent="0.2">
      <c r="B13" s="1" t="s">
        <v>26</v>
      </c>
      <c r="D13" s="74"/>
      <c r="E13" s="74"/>
      <c r="F13" s="1">
        <f t="shared" ref="F13:F18" si="0">IF(E13&gt;$C$6,0,1)</f>
        <v>1</v>
      </c>
      <c r="G13" s="74">
        <f t="shared" ref="G13:G18" si="1">F13*E13*D13</f>
        <v>0</v>
      </c>
      <c r="I13" s="15" t="s">
        <v>71</v>
      </c>
      <c r="J13" s="15"/>
      <c r="K13" s="15"/>
      <c r="L13" s="16">
        <v>0</v>
      </c>
    </row>
    <row r="14" spans="2:12" x14ac:dyDescent="0.2">
      <c r="D14" s="74"/>
      <c r="E14" s="74"/>
      <c r="F14" s="1">
        <f t="shared" si="0"/>
        <v>1</v>
      </c>
      <c r="G14" s="74">
        <f t="shared" si="1"/>
        <v>0</v>
      </c>
      <c r="I14" s="1" t="s">
        <v>21</v>
      </c>
      <c r="L14" s="19">
        <f>L12*(1+L13)</f>
        <v>50.84</v>
      </c>
    </row>
    <row r="15" spans="2:12" x14ac:dyDescent="0.2">
      <c r="D15" s="74"/>
      <c r="E15" s="74"/>
      <c r="F15" s="1">
        <f t="shared" si="0"/>
        <v>1</v>
      </c>
      <c r="G15" s="74">
        <f t="shared" si="1"/>
        <v>0</v>
      </c>
      <c r="I15" s="1" t="s">
        <v>19</v>
      </c>
      <c r="L15" s="8">
        <f>G30</f>
        <v>34.700000000000003</v>
      </c>
    </row>
    <row r="16" spans="2:12" ht="15" x14ac:dyDescent="0.25">
      <c r="D16" s="74"/>
      <c r="E16" s="74"/>
      <c r="F16" s="1">
        <f t="shared" si="0"/>
        <v>1</v>
      </c>
      <c r="G16" s="74">
        <f t="shared" si="1"/>
        <v>0</v>
      </c>
      <c r="I16" s="14" t="s">
        <v>22</v>
      </c>
      <c r="J16" s="14"/>
      <c r="K16" s="14"/>
      <c r="L16" s="27">
        <f>L14*L15</f>
        <v>1764.1480000000004</v>
      </c>
    </row>
    <row r="17" spans="2:15" x14ac:dyDescent="0.2">
      <c r="D17" s="74"/>
      <c r="E17" s="74"/>
      <c r="F17" s="1">
        <f t="shared" si="0"/>
        <v>1</v>
      </c>
      <c r="G17" s="74">
        <f t="shared" si="1"/>
        <v>0</v>
      </c>
      <c r="I17" s="1" t="s">
        <v>23</v>
      </c>
      <c r="L17" s="72">
        <v>9.51</v>
      </c>
      <c r="O17" s="80"/>
    </row>
    <row r="18" spans="2:15" x14ac:dyDescent="0.2">
      <c r="D18" s="74"/>
      <c r="E18" s="74"/>
      <c r="F18" s="1">
        <f t="shared" si="0"/>
        <v>1</v>
      </c>
      <c r="G18" s="74">
        <f t="shared" si="1"/>
        <v>0</v>
      </c>
      <c r="I18" s="1" t="s">
        <v>443</v>
      </c>
      <c r="L18" s="72"/>
    </row>
    <row r="19" spans="2:15" x14ac:dyDescent="0.2">
      <c r="D19" s="74"/>
      <c r="E19" s="74"/>
      <c r="F19" s="74"/>
      <c r="G19" s="74"/>
      <c r="I19" s="1" t="s">
        <v>28</v>
      </c>
      <c r="L19" s="72"/>
    </row>
    <row r="20" spans="2:15" ht="15" x14ac:dyDescent="0.25">
      <c r="B20" s="75" t="s">
        <v>444</v>
      </c>
      <c r="C20" s="75" t="s">
        <v>445</v>
      </c>
      <c r="D20" s="76" t="s">
        <v>446</v>
      </c>
      <c r="E20" s="76" t="s">
        <v>6</v>
      </c>
      <c r="F20" s="74"/>
      <c r="G20" s="74"/>
      <c r="I20" s="1" t="s">
        <v>74</v>
      </c>
      <c r="L20" s="72"/>
    </row>
    <row r="21" spans="2:15" ht="15" x14ac:dyDescent="0.25">
      <c r="D21" s="74"/>
      <c r="E21" s="74"/>
      <c r="F21" s="74"/>
      <c r="G21" s="74"/>
      <c r="H21" s="73"/>
      <c r="I21" s="1" t="s">
        <v>72</v>
      </c>
      <c r="L21" s="72"/>
    </row>
    <row r="22" spans="2:15" x14ac:dyDescent="0.2">
      <c r="D22" s="74"/>
      <c r="E22" s="74"/>
      <c r="F22" s="1">
        <f>IF(E22&gt;$C$6,0,1)</f>
        <v>1</v>
      </c>
      <c r="G22" s="74"/>
      <c r="I22" s="1" t="s">
        <v>24</v>
      </c>
      <c r="L22" s="72">
        <v>-191.4</v>
      </c>
    </row>
    <row r="23" spans="2:15" ht="15" x14ac:dyDescent="0.25">
      <c r="D23" s="74"/>
      <c r="E23" s="74"/>
      <c r="F23" s="1">
        <f>IF(E23&gt;$C$6,0,1)</f>
        <v>1</v>
      </c>
      <c r="G23" s="74"/>
      <c r="I23" s="14" t="s">
        <v>25</v>
      </c>
      <c r="J23" s="14"/>
      <c r="K23" s="14"/>
      <c r="L23" s="27">
        <f>SUM(L16:L22)</f>
        <v>1582.2580000000003</v>
      </c>
    </row>
    <row r="24" spans="2:15" x14ac:dyDescent="0.2">
      <c r="D24" s="74"/>
      <c r="E24" s="74"/>
      <c r="F24" s="74"/>
      <c r="G24" s="74"/>
    </row>
    <row r="25" spans="2:15" x14ac:dyDescent="0.2">
      <c r="B25" s="13" t="s">
        <v>13</v>
      </c>
      <c r="C25" s="13"/>
      <c r="D25" s="77">
        <f>SUM(D12:D24)</f>
        <v>0</v>
      </c>
      <c r="E25" s="77"/>
      <c r="F25" s="77"/>
      <c r="G25" s="77">
        <f>SUM(G12:G24)</f>
        <v>0</v>
      </c>
    </row>
    <row r="26" spans="2:15" x14ac:dyDescent="0.2">
      <c r="B26" s="1" t="s">
        <v>14</v>
      </c>
      <c r="D26" s="78">
        <f>SUMPRODUCT(D12:D24,F12:F24)</f>
        <v>0</v>
      </c>
      <c r="E26" s="74"/>
      <c r="F26" s="74"/>
      <c r="G26" s="74"/>
    </row>
    <row r="27" spans="2:15" x14ac:dyDescent="0.2">
      <c r="D27" s="74"/>
      <c r="E27" s="74"/>
      <c r="F27" s="74"/>
      <c r="G27" s="74"/>
    </row>
    <row r="28" spans="2:15" x14ac:dyDescent="0.2">
      <c r="B28" s="1" t="s">
        <v>15</v>
      </c>
      <c r="D28" s="74"/>
      <c r="E28" s="74"/>
      <c r="F28" s="74"/>
      <c r="G28" s="78">
        <f>G25/C6</f>
        <v>0</v>
      </c>
    </row>
    <row r="29" spans="2:15" x14ac:dyDescent="0.2">
      <c r="B29" s="1" t="s">
        <v>16</v>
      </c>
      <c r="D29" s="74"/>
      <c r="E29" s="74"/>
      <c r="F29" s="74"/>
      <c r="G29" s="78">
        <f>D26-G28</f>
        <v>0</v>
      </c>
    </row>
    <row r="30" spans="2:15" ht="15" x14ac:dyDescent="0.25">
      <c r="B30" s="14" t="s">
        <v>17</v>
      </c>
      <c r="C30" s="14"/>
      <c r="D30" s="79"/>
      <c r="E30" s="79"/>
      <c r="F30" s="79"/>
      <c r="G30" s="79">
        <f>C8+G29</f>
        <v>34.700000000000003</v>
      </c>
    </row>
  </sheetData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365F9-AAB6-468A-90A7-C34FA8BA1060}">
  <sheetPr>
    <tabColor theme="9" tint="-0.249977111117893"/>
  </sheetPr>
  <dimension ref="B3:L30"/>
  <sheetViews>
    <sheetView workbookViewId="0"/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449</v>
      </c>
    </row>
    <row r="6" spans="2:12" x14ac:dyDescent="0.2">
      <c r="B6" s="1" t="s">
        <v>6</v>
      </c>
      <c r="C6" s="45">
        <v>231.72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55.635089000000001</v>
      </c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B12" s="1" t="s">
        <v>9</v>
      </c>
      <c r="D12" s="74">
        <v>0.41582599999999997</v>
      </c>
      <c r="E12" s="74">
        <v>47.01</v>
      </c>
      <c r="F12" s="1">
        <f>IF(E12&gt;$C$6,0,1)</f>
        <v>1</v>
      </c>
      <c r="G12" s="74">
        <f>F12*E12*D12</f>
        <v>19.547980259999999</v>
      </c>
      <c r="I12" s="1" t="str">
        <f>"Current Price (as of "&amp;TEXT(C7,"m/d/yy")&amp;")"</f>
        <v>Current Price (as of 10/28/22)</v>
      </c>
      <c r="L12" s="19">
        <f>C6</f>
        <v>231.72</v>
      </c>
    </row>
    <row r="13" spans="2:12" x14ac:dyDescent="0.2">
      <c r="B13" s="1" t="s">
        <v>26</v>
      </c>
      <c r="D13" s="74">
        <v>1.4635929999999999</v>
      </c>
      <c r="E13" s="74"/>
      <c r="F13" s="1">
        <f t="shared" ref="F13:F18" si="0">IF(E13&gt;$C$6,0,1)</f>
        <v>1</v>
      </c>
      <c r="G13" s="74">
        <f t="shared" ref="G13:G18" si="1">F13*E13*D13</f>
        <v>0</v>
      </c>
      <c r="I13" s="15" t="s">
        <v>71</v>
      </c>
      <c r="J13" s="15"/>
      <c r="K13" s="15"/>
      <c r="L13" s="16">
        <v>0</v>
      </c>
    </row>
    <row r="14" spans="2:12" x14ac:dyDescent="0.2">
      <c r="B14" s="1" t="s">
        <v>27</v>
      </c>
      <c r="D14" s="74">
        <v>0.14785799999999999</v>
      </c>
      <c r="E14" s="74"/>
      <c r="F14" s="1">
        <f t="shared" si="0"/>
        <v>1</v>
      </c>
      <c r="G14" s="74">
        <f t="shared" si="1"/>
        <v>0</v>
      </c>
      <c r="I14" s="1" t="s">
        <v>21</v>
      </c>
      <c r="L14" s="19">
        <f>L12*(1+L13)</f>
        <v>231.72</v>
      </c>
    </row>
    <row r="15" spans="2:12" x14ac:dyDescent="0.2">
      <c r="D15" s="74"/>
      <c r="E15" s="74"/>
      <c r="F15" s="1">
        <f t="shared" si="0"/>
        <v>1</v>
      </c>
      <c r="G15" s="74">
        <f t="shared" si="1"/>
        <v>0</v>
      </c>
      <c r="I15" s="1" t="s">
        <v>19</v>
      </c>
      <c r="L15" s="8">
        <f>G30</f>
        <v>57.578005650181254</v>
      </c>
    </row>
    <row r="16" spans="2:12" ht="15" x14ac:dyDescent="0.25">
      <c r="D16" s="74"/>
      <c r="E16" s="74"/>
      <c r="F16" s="1">
        <f t="shared" si="0"/>
        <v>1</v>
      </c>
      <c r="G16" s="74">
        <f t="shared" si="1"/>
        <v>0</v>
      </c>
      <c r="I16" s="14" t="s">
        <v>22</v>
      </c>
      <c r="J16" s="14"/>
      <c r="K16" s="14"/>
      <c r="L16" s="27">
        <f>L14*L15</f>
        <v>13341.97546926</v>
      </c>
    </row>
    <row r="17" spans="2:12" x14ac:dyDescent="0.2">
      <c r="D17" s="74"/>
      <c r="E17" s="74"/>
      <c r="F17" s="1">
        <f t="shared" si="0"/>
        <v>1</v>
      </c>
      <c r="G17" s="74">
        <f t="shared" si="1"/>
        <v>0</v>
      </c>
      <c r="I17" s="1" t="s">
        <v>23</v>
      </c>
      <c r="L17" s="72">
        <f>622.991</f>
        <v>622.99099999999999</v>
      </c>
    </row>
    <row r="18" spans="2:12" x14ac:dyDescent="0.2">
      <c r="D18" s="74"/>
      <c r="E18" s="74"/>
      <c r="F18" s="1">
        <f t="shared" si="0"/>
        <v>1</v>
      </c>
      <c r="G18" s="74">
        <f t="shared" si="1"/>
        <v>0</v>
      </c>
      <c r="I18" s="1" t="s">
        <v>443</v>
      </c>
      <c r="L18" s="72"/>
    </row>
    <row r="19" spans="2:12" x14ac:dyDescent="0.2">
      <c r="D19" s="74"/>
      <c r="E19" s="74"/>
      <c r="F19" s="74"/>
      <c r="G19" s="74"/>
      <c r="I19" s="1" t="s">
        <v>28</v>
      </c>
      <c r="L19" s="72"/>
    </row>
    <row r="20" spans="2:12" ht="15" x14ac:dyDescent="0.25">
      <c r="B20" s="75" t="s">
        <v>444</v>
      </c>
      <c r="C20" s="75" t="s">
        <v>445</v>
      </c>
      <c r="D20" s="76" t="s">
        <v>446</v>
      </c>
      <c r="E20" s="76" t="s">
        <v>6</v>
      </c>
      <c r="F20" s="74"/>
      <c r="G20" s="74"/>
      <c r="I20" s="1" t="s">
        <v>74</v>
      </c>
      <c r="L20" s="72"/>
    </row>
    <row r="21" spans="2:12" ht="15" x14ac:dyDescent="0.25">
      <c r="D21" s="74"/>
      <c r="E21" s="74"/>
      <c r="F21" s="74"/>
      <c r="G21" s="74"/>
      <c r="H21" s="73"/>
      <c r="I21" s="1" t="s">
        <v>72</v>
      </c>
      <c r="L21" s="72"/>
    </row>
    <row r="22" spans="2:12" x14ac:dyDescent="0.2">
      <c r="D22" s="74"/>
      <c r="E22" s="74"/>
      <c r="F22" s="1">
        <f>IF(E22&gt;$C$6,0,1)</f>
        <v>1</v>
      </c>
      <c r="G22" s="74"/>
      <c r="I22" s="1" t="s">
        <v>24</v>
      </c>
      <c r="L22" s="72">
        <f>-(745.534+150.259+709.571)</f>
        <v>-1605.364</v>
      </c>
    </row>
    <row r="23" spans="2:12" ht="15" x14ac:dyDescent="0.25">
      <c r="D23" s="74"/>
      <c r="E23" s="74"/>
      <c r="F23" s="1">
        <f>IF(E23&gt;$C$6,0,1)</f>
        <v>1</v>
      </c>
      <c r="G23" s="74"/>
      <c r="I23" s="14" t="s">
        <v>25</v>
      </c>
      <c r="J23" s="14"/>
      <c r="K23" s="14"/>
      <c r="L23" s="27">
        <f>SUM(L16:L22)</f>
        <v>12359.60246926</v>
      </c>
    </row>
    <row r="24" spans="2:12" x14ac:dyDescent="0.2">
      <c r="D24" s="74"/>
      <c r="E24" s="74"/>
      <c r="F24" s="74"/>
      <c r="G24" s="74"/>
    </row>
    <row r="25" spans="2:12" x14ac:dyDescent="0.2">
      <c r="B25" s="13" t="s">
        <v>13</v>
      </c>
      <c r="C25" s="13"/>
      <c r="D25" s="77">
        <f>SUM(D12:D24)</f>
        <v>2.0272769999999998</v>
      </c>
      <c r="E25" s="77"/>
      <c r="F25" s="77"/>
      <c r="G25" s="77">
        <f>SUM(G12:G24)</f>
        <v>19.547980259999999</v>
      </c>
    </row>
    <row r="26" spans="2:12" x14ac:dyDescent="0.2">
      <c r="B26" s="1" t="s">
        <v>14</v>
      </c>
      <c r="D26" s="78">
        <f>SUMPRODUCT(D12:D24,F12:F24)</f>
        <v>2.0272769999999998</v>
      </c>
      <c r="E26" s="74"/>
      <c r="F26" s="74"/>
      <c r="G26" s="74"/>
    </row>
    <row r="27" spans="2:12" x14ac:dyDescent="0.2">
      <c r="D27" s="74"/>
      <c r="E27" s="74"/>
      <c r="F27" s="74"/>
      <c r="G27" s="74"/>
    </row>
    <row r="28" spans="2:12" x14ac:dyDescent="0.2">
      <c r="B28" s="1" t="s">
        <v>15</v>
      </c>
      <c r="D28" s="74"/>
      <c r="E28" s="74"/>
      <c r="F28" s="74"/>
      <c r="G28" s="78">
        <f>G25/C6</f>
        <v>8.4360349818746766E-2</v>
      </c>
    </row>
    <row r="29" spans="2:12" x14ac:dyDescent="0.2">
      <c r="B29" s="1" t="s">
        <v>16</v>
      </c>
      <c r="D29" s="74"/>
      <c r="E29" s="74"/>
      <c r="F29" s="74"/>
      <c r="G29" s="78">
        <f>D26-G28</f>
        <v>1.9429166501812529</v>
      </c>
    </row>
    <row r="30" spans="2:12" ht="15" x14ac:dyDescent="0.25">
      <c r="B30" s="14" t="s">
        <v>17</v>
      </c>
      <c r="C30" s="14"/>
      <c r="D30" s="79"/>
      <c r="E30" s="79"/>
      <c r="F30" s="79"/>
      <c r="G30" s="79">
        <f>C8+G29</f>
        <v>57.578005650181254</v>
      </c>
    </row>
  </sheetData>
  <pageMargins left="0.7" right="0.7" top="0.75" bottom="0.75" header="0.3" footer="0.3"/>
  <pageSetup orientation="portrait" r:id="rId1"/>
  <legacy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C5EDC-E68F-4336-8EB0-7F59250BC57A}">
  <sheetPr>
    <tabColor theme="9" tint="0.79998168889431442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81C19-8C60-40A2-8018-FFF7657C0FD8}">
  <sheetPr>
    <tabColor theme="9" tint="0.79998168889431442"/>
  </sheetPr>
  <dimension ref="B3:L26"/>
  <sheetViews>
    <sheetView workbookViewId="0"/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75</v>
      </c>
    </row>
    <row r="6" spans="2:12" x14ac:dyDescent="0.2">
      <c r="B6" s="1" t="s">
        <v>6</v>
      </c>
      <c r="C6" s="45">
        <v>31.93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64.262556000000004</v>
      </c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B12" s="1" t="s">
        <v>9</v>
      </c>
      <c r="D12" s="23">
        <v>2.6290999999999998E-2</v>
      </c>
      <c r="E12" s="19">
        <v>9.33</v>
      </c>
      <c r="F12" s="1">
        <f>IF(E12&gt;$C$6,0,1)</f>
        <v>1</v>
      </c>
      <c r="G12" s="23">
        <f>F12*E12*D12</f>
        <v>0.24529503</v>
      </c>
      <c r="I12" s="1" t="str">
        <f>"Current Price (as of "&amp;TEXT(C7,"m/d/yy")&amp;")"</f>
        <v>Current Price (as of 10/28/22)</v>
      </c>
      <c r="L12" s="19">
        <f>C6</f>
        <v>31.93</v>
      </c>
    </row>
    <row r="13" spans="2:12" x14ac:dyDescent="0.2">
      <c r="B13" s="1" t="s">
        <v>76</v>
      </c>
      <c r="D13" s="23">
        <v>0.11650000000000001</v>
      </c>
      <c r="F13" s="1">
        <f>IF(E13&gt;$C$6,0,1)</f>
        <v>1</v>
      </c>
      <c r="G13" s="23">
        <f>F13*E13*D13</f>
        <v>0</v>
      </c>
      <c r="I13" s="15" t="s">
        <v>71</v>
      </c>
      <c r="J13" s="15"/>
      <c r="K13" s="15"/>
      <c r="L13" s="16">
        <v>0</v>
      </c>
    </row>
    <row r="14" spans="2:12" x14ac:dyDescent="0.2">
      <c r="B14" s="1" t="s">
        <v>26</v>
      </c>
      <c r="D14" s="23">
        <v>3.3353030000000001</v>
      </c>
      <c r="F14" s="1">
        <f>IF(E14&gt;$C$6,0,1)</f>
        <v>1</v>
      </c>
      <c r="G14" s="23">
        <f>F14*E14*D14</f>
        <v>0</v>
      </c>
      <c r="I14" s="1" t="s">
        <v>21</v>
      </c>
      <c r="L14" s="19">
        <f>L12*(1+L13)</f>
        <v>31.93</v>
      </c>
    </row>
    <row r="15" spans="2:12" x14ac:dyDescent="0.2">
      <c r="B15" s="13" t="s">
        <v>13</v>
      </c>
      <c r="C15" s="13"/>
      <c r="D15" s="24">
        <f>SUM(D12:D14)</f>
        <v>3.478094</v>
      </c>
      <c r="E15" s="13"/>
      <c r="F15" s="13"/>
      <c r="G15" s="24">
        <f>SUM(G12:G14)</f>
        <v>0.24529503</v>
      </c>
      <c r="I15" s="1" t="s">
        <v>19</v>
      </c>
      <c r="L15" s="8">
        <f>G26</f>
        <v>67.732967725336678</v>
      </c>
    </row>
    <row r="16" spans="2:12" ht="15" x14ac:dyDescent="0.25">
      <c r="B16" s="1" t="s">
        <v>14</v>
      </c>
      <c r="D16" s="23">
        <f>SUMPRODUCT(D12:D14,F12:F14)</f>
        <v>3.478094</v>
      </c>
      <c r="I16" s="14" t="s">
        <v>22</v>
      </c>
      <c r="J16" s="14"/>
      <c r="K16" s="14"/>
      <c r="L16" s="27">
        <f>L14*L15</f>
        <v>2162.71365947</v>
      </c>
    </row>
    <row r="17" spans="2:12" x14ac:dyDescent="0.2">
      <c r="I17" s="1" t="s">
        <v>23</v>
      </c>
      <c r="L17" s="81">
        <v>3222.36</v>
      </c>
    </row>
    <row r="18" spans="2:12" x14ac:dyDescent="0.2">
      <c r="I18" s="1" t="s">
        <v>28</v>
      </c>
      <c r="L18" s="81">
        <v>322.52</v>
      </c>
    </row>
    <row r="19" spans="2:12" x14ac:dyDescent="0.2">
      <c r="I19" s="1" t="s">
        <v>74</v>
      </c>
      <c r="L19" s="81"/>
    </row>
    <row r="20" spans="2:12" x14ac:dyDescent="0.2">
      <c r="I20" s="1" t="s">
        <v>72</v>
      </c>
      <c r="L20" s="81">
        <v>-104.53</v>
      </c>
    </row>
    <row r="21" spans="2:12" ht="15" x14ac:dyDescent="0.25">
      <c r="H21" s="73"/>
      <c r="I21" s="1" t="s">
        <v>24</v>
      </c>
      <c r="L21" s="81">
        <f>-1941.83</f>
        <v>-1941.83</v>
      </c>
    </row>
    <row r="22" spans="2:12" ht="15" x14ac:dyDescent="0.25">
      <c r="I22" s="14" t="s">
        <v>25</v>
      </c>
      <c r="J22" s="14"/>
      <c r="K22" s="14"/>
      <c r="L22" s="27">
        <f>SUM(L16:L21)</f>
        <v>3661.23365947</v>
      </c>
    </row>
    <row r="24" spans="2:12" x14ac:dyDescent="0.2">
      <c r="B24" s="1" t="s">
        <v>15</v>
      </c>
      <c r="G24" s="23">
        <f>G15/C6</f>
        <v>7.6822746633260254E-3</v>
      </c>
    </row>
    <row r="25" spans="2:12" x14ac:dyDescent="0.2">
      <c r="B25" s="1" t="s">
        <v>16</v>
      </c>
      <c r="G25" s="23">
        <f>D16-G24</f>
        <v>3.4704117253366742</v>
      </c>
    </row>
    <row r="26" spans="2:12" ht="15" x14ac:dyDescent="0.25">
      <c r="B26" s="14" t="s">
        <v>17</v>
      </c>
      <c r="C26" s="14"/>
      <c r="D26" s="14"/>
      <c r="E26" s="14"/>
      <c r="F26" s="14"/>
      <c r="G26" s="26">
        <f>C8+G25</f>
        <v>67.732967725336678</v>
      </c>
    </row>
  </sheetData>
  <pageMargins left="0.7" right="0.7" top="0.75" bottom="0.75" header="0.3" footer="0.3"/>
  <pageSetup orientation="portrait" r:id="rId1"/>
  <legacy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63922-A380-40A0-AC57-DB8344452521}">
  <sheetPr>
    <tabColor theme="9" tint="0.79998168889431442"/>
  </sheetPr>
  <dimension ref="B3:O30"/>
  <sheetViews>
    <sheetView workbookViewId="0"/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453</v>
      </c>
    </row>
    <row r="6" spans="2:12" x14ac:dyDescent="0.2">
      <c r="B6" s="1" t="s">
        <v>6</v>
      </c>
      <c r="C6" s="45">
        <v>132.66999999999999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106.60561</v>
      </c>
      <c r="D8" s="19"/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D12" s="74"/>
      <c r="E12" s="74"/>
      <c r="F12" s="1">
        <f>IF(E12&gt;$C$6,0,1)</f>
        <v>1</v>
      </c>
      <c r="G12" s="74">
        <f>F12*E12*D12</f>
        <v>0</v>
      </c>
      <c r="I12" s="1" t="str">
        <f>"Current Price (as of "&amp;TEXT(C7,"m/d/yy")&amp;")"</f>
        <v>Current Price (as of 10/28/22)</v>
      </c>
      <c r="L12" s="19">
        <f>C6</f>
        <v>132.66999999999999</v>
      </c>
    </row>
    <row r="13" spans="2:12" x14ac:dyDescent="0.2">
      <c r="B13" s="1" t="s">
        <v>26</v>
      </c>
      <c r="D13" s="74">
        <v>1.3168599999999999</v>
      </c>
      <c r="E13" s="74"/>
      <c r="F13" s="1">
        <f t="shared" ref="F13:F18" si="0">IF(E13&gt;$C$6,0,1)</f>
        <v>1</v>
      </c>
      <c r="G13" s="74">
        <f t="shared" ref="G13:G18" si="1">F13*E13*D13</f>
        <v>0</v>
      </c>
      <c r="I13" s="15" t="s">
        <v>71</v>
      </c>
      <c r="J13" s="15"/>
      <c r="K13" s="15"/>
      <c r="L13" s="16">
        <v>0</v>
      </c>
    </row>
    <row r="14" spans="2:12" x14ac:dyDescent="0.2">
      <c r="D14" s="74"/>
      <c r="E14" s="74"/>
      <c r="F14" s="1">
        <f t="shared" si="0"/>
        <v>1</v>
      </c>
      <c r="G14" s="74">
        <f t="shared" si="1"/>
        <v>0</v>
      </c>
      <c r="I14" s="1" t="s">
        <v>21</v>
      </c>
      <c r="L14" s="19">
        <f>L12*(1+L13)</f>
        <v>132.66999999999999</v>
      </c>
    </row>
    <row r="15" spans="2:12" x14ac:dyDescent="0.2">
      <c r="D15" s="74"/>
      <c r="E15" s="74"/>
      <c r="F15" s="1">
        <f t="shared" si="0"/>
        <v>1</v>
      </c>
      <c r="G15" s="74">
        <f t="shared" si="1"/>
        <v>0</v>
      </c>
      <c r="I15" s="1" t="s">
        <v>19</v>
      </c>
      <c r="L15" s="8">
        <f>G30</f>
        <v>107.92247</v>
      </c>
    </row>
    <row r="16" spans="2:12" ht="15" x14ac:dyDescent="0.25">
      <c r="D16" s="74"/>
      <c r="E16" s="74"/>
      <c r="F16" s="1">
        <f t="shared" si="0"/>
        <v>1</v>
      </c>
      <c r="G16" s="74">
        <f t="shared" si="1"/>
        <v>0</v>
      </c>
      <c r="I16" s="14" t="s">
        <v>22</v>
      </c>
      <c r="J16" s="14"/>
      <c r="K16" s="14"/>
      <c r="L16" s="27">
        <f>L14*L15</f>
        <v>14318.074094899999</v>
      </c>
    </row>
    <row r="17" spans="2:15" x14ac:dyDescent="0.2">
      <c r="D17" s="74"/>
      <c r="E17" s="74"/>
      <c r="F17" s="1">
        <f t="shared" si="0"/>
        <v>1</v>
      </c>
      <c r="G17" s="74">
        <f t="shared" si="1"/>
        <v>0</v>
      </c>
      <c r="I17" s="1" t="s">
        <v>23</v>
      </c>
      <c r="L17" s="72">
        <f>254.224+5.435</f>
        <v>259.65899999999999</v>
      </c>
      <c r="O17" s="80"/>
    </row>
    <row r="18" spans="2:15" x14ac:dyDescent="0.2">
      <c r="D18" s="74"/>
      <c r="E18" s="74"/>
      <c r="F18" s="1">
        <f t="shared" si="0"/>
        <v>1</v>
      </c>
      <c r="G18" s="74">
        <f t="shared" si="1"/>
        <v>0</v>
      </c>
      <c r="I18" s="1" t="s">
        <v>443</v>
      </c>
      <c r="L18" s="72"/>
    </row>
    <row r="19" spans="2:15" x14ac:dyDescent="0.2">
      <c r="D19" s="74"/>
      <c r="E19" s="74"/>
      <c r="F19" s="74"/>
      <c r="G19" s="74"/>
      <c r="I19" s="1" t="s">
        <v>28</v>
      </c>
      <c r="L19" s="72"/>
    </row>
    <row r="20" spans="2:15" ht="15" x14ac:dyDescent="0.25">
      <c r="B20" s="75" t="s">
        <v>444</v>
      </c>
      <c r="C20" s="75" t="s">
        <v>445</v>
      </c>
      <c r="D20" s="76" t="s">
        <v>446</v>
      </c>
      <c r="E20" s="76" t="s">
        <v>6</v>
      </c>
      <c r="F20" s="74"/>
      <c r="G20" s="74"/>
      <c r="I20" s="1" t="s">
        <v>74</v>
      </c>
      <c r="L20" s="72"/>
    </row>
    <row r="21" spans="2:15" ht="15" x14ac:dyDescent="0.25">
      <c r="D21" s="74"/>
      <c r="E21" s="74"/>
      <c r="F21" s="74"/>
      <c r="G21" s="74"/>
      <c r="H21" s="73"/>
      <c r="I21" s="1" t="s">
        <v>72</v>
      </c>
      <c r="L21" s="72"/>
    </row>
    <row r="22" spans="2:15" x14ac:dyDescent="0.2">
      <c r="D22" s="74"/>
      <c r="E22" s="74"/>
      <c r="F22" s="1">
        <f>IF(E22&gt;$C$6,0,1)</f>
        <v>1</v>
      </c>
      <c r="G22" s="74"/>
      <c r="I22" s="1" t="s">
        <v>24</v>
      </c>
      <c r="L22" s="72">
        <f>-(1150.982+776.213)</f>
        <v>-1927.1949999999999</v>
      </c>
    </row>
    <row r="23" spans="2:15" ht="15" x14ac:dyDescent="0.25">
      <c r="D23" s="74"/>
      <c r="E23" s="74"/>
      <c r="F23" s="1">
        <f>IF(E23&gt;$C$6,0,1)</f>
        <v>1</v>
      </c>
      <c r="G23" s="74"/>
      <c r="I23" s="14" t="s">
        <v>25</v>
      </c>
      <c r="J23" s="14"/>
      <c r="K23" s="14"/>
      <c r="L23" s="27">
        <f>SUM(L16:L22)</f>
        <v>12650.538094899999</v>
      </c>
    </row>
    <row r="24" spans="2:15" x14ac:dyDescent="0.2">
      <c r="D24" s="74"/>
      <c r="E24" s="74"/>
      <c r="F24" s="74"/>
      <c r="G24" s="74"/>
    </row>
    <row r="25" spans="2:15" x14ac:dyDescent="0.2">
      <c r="B25" s="13" t="s">
        <v>13</v>
      </c>
      <c r="C25" s="13"/>
      <c r="D25" s="77">
        <f>SUM(D12:D24)</f>
        <v>1.3168599999999999</v>
      </c>
      <c r="E25" s="77"/>
      <c r="F25" s="77"/>
      <c r="G25" s="77">
        <f>SUM(G12:G24)</f>
        <v>0</v>
      </c>
    </row>
    <row r="26" spans="2:15" x14ac:dyDescent="0.2">
      <c r="B26" s="1" t="s">
        <v>14</v>
      </c>
      <c r="D26" s="78">
        <f>SUMPRODUCT(D12:D24,F12:F24)</f>
        <v>1.3168599999999999</v>
      </c>
      <c r="E26" s="74"/>
      <c r="F26" s="74"/>
      <c r="G26" s="74"/>
    </row>
    <row r="27" spans="2:15" x14ac:dyDescent="0.2">
      <c r="D27" s="74"/>
      <c r="E27" s="74"/>
      <c r="F27" s="74"/>
      <c r="G27" s="74"/>
    </row>
    <row r="28" spans="2:15" x14ac:dyDescent="0.2">
      <c r="B28" s="1" t="s">
        <v>15</v>
      </c>
      <c r="D28" s="74"/>
      <c r="E28" s="74"/>
      <c r="F28" s="74"/>
      <c r="G28" s="78">
        <f>G25/C6</f>
        <v>0</v>
      </c>
    </row>
    <row r="29" spans="2:15" x14ac:dyDescent="0.2">
      <c r="B29" s="1" t="s">
        <v>16</v>
      </c>
      <c r="D29" s="74"/>
      <c r="E29" s="74"/>
      <c r="F29" s="74"/>
      <c r="G29" s="78">
        <f>D26-G28</f>
        <v>1.3168599999999999</v>
      </c>
    </row>
    <row r="30" spans="2:15" ht="15" x14ac:dyDescent="0.25">
      <c r="B30" s="14" t="s">
        <v>17</v>
      </c>
      <c r="C30" s="14"/>
      <c r="D30" s="79"/>
      <c r="E30" s="79"/>
      <c r="F30" s="79"/>
      <c r="G30" s="79">
        <f>C8+G29</f>
        <v>107.92247</v>
      </c>
    </row>
  </sheetData>
  <pageMargins left="0.7" right="0.7" top="0.75" bottom="0.75" header="0.3" footer="0.3"/>
  <pageSetup orientation="portrait" r:id="rId1"/>
  <legacy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27E7A-C6C7-4C06-8720-42D00325528C}">
  <sheetPr>
    <tabColor theme="9" tint="0.79998168889431442"/>
  </sheetPr>
  <dimension ref="B3:O30"/>
  <sheetViews>
    <sheetView workbookViewId="0"/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452</v>
      </c>
    </row>
    <row r="6" spans="2:12" x14ac:dyDescent="0.2">
      <c r="B6" s="1" t="s">
        <v>6</v>
      </c>
      <c r="C6" s="45">
        <v>45.94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50.12</v>
      </c>
      <c r="D8" s="19"/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B12" s="1" t="s">
        <v>9</v>
      </c>
      <c r="D12" s="74"/>
      <c r="E12" s="74"/>
      <c r="F12" s="1">
        <f>IF(E12&gt;$C$6,0,1)</f>
        <v>1</v>
      </c>
      <c r="G12" s="74">
        <f>F12*E12*D12</f>
        <v>0</v>
      </c>
      <c r="I12" s="1" t="str">
        <f>"Current Price (as of "&amp;TEXT(C7,"m/d/yy")&amp;")"</f>
        <v>Current Price (as of 10/28/22)</v>
      </c>
      <c r="L12" s="19">
        <f>C6</f>
        <v>45.94</v>
      </c>
    </row>
    <row r="13" spans="2:12" x14ac:dyDescent="0.2">
      <c r="B13" s="1" t="s">
        <v>26</v>
      </c>
      <c r="D13" s="74"/>
      <c r="E13" s="74"/>
      <c r="F13" s="1">
        <f t="shared" ref="F13:F18" si="0">IF(E13&gt;$C$6,0,1)</f>
        <v>1</v>
      </c>
      <c r="G13" s="74">
        <f t="shared" ref="G13:G18" si="1">F13*E13*D13</f>
        <v>0</v>
      </c>
      <c r="I13" s="15" t="s">
        <v>71</v>
      </c>
      <c r="J13" s="15"/>
      <c r="K13" s="15"/>
      <c r="L13" s="16">
        <v>0</v>
      </c>
    </row>
    <row r="14" spans="2:12" x14ac:dyDescent="0.2">
      <c r="D14" s="74"/>
      <c r="E14" s="74"/>
      <c r="F14" s="1">
        <f t="shared" si="0"/>
        <v>1</v>
      </c>
      <c r="G14" s="74">
        <f t="shared" si="1"/>
        <v>0</v>
      </c>
      <c r="I14" s="1" t="s">
        <v>21</v>
      </c>
      <c r="L14" s="19">
        <f>L12*(1+L13)</f>
        <v>45.94</v>
      </c>
    </row>
    <row r="15" spans="2:12" x14ac:dyDescent="0.2">
      <c r="D15" s="74"/>
      <c r="E15" s="74"/>
      <c r="F15" s="1">
        <f t="shared" si="0"/>
        <v>1</v>
      </c>
      <c r="G15" s="74">
        <f t="shared" si="1"/>
        <v>0</v>
      </c>
      <c r="I15" s="1" t="s">
        <v>19</v>
      </c>
      <c r="L15" s="8">
        <f>G30</f>
        <v>50.12</v>
      </c>
    </row>
    <row r="16" spans="2:12" ht="15" x14ac:dyDescent="0.25">
      <c r="D16" s="74"/>
      <c r="E16" s="74"/>
      <c r="F16" s="1">
        <f t="shared" si="0"/>
        <v>1</v>
      </c>
      <c r="G16" s="74">
        <f t="shared" si="1"/>
        <v>0</v>
      </c>
      <c r="I16" s="14" t="s">
        <v>22</v>
      </c>
      <c r="J16" s="14"/>
      <c r="K16" s="14"/>
      <c r="L16" s="27">
        <f>L14*L15</f>
        <v>2302.5128</v>
      </c>
    </row>
    <row r="17" spans="2:15" x14ac:dyDescent="0.2">
      <c r="D17" s="74"/>
      <c r="E17" s="74"/>
      <c r="F17" s="1">
        <f t="shared" si="0"/>
        <v>1</v>
      </c>
      <c r="G17" s="74">
        <f t="shared" si="1"/>
        <v>0</v>
      </c>
      <c r="I17" s="1" t="s">
        <v>23</v>
      </c>
      <c r="L17" s="72">
        <f>7145.72+476.19</f>
        <v>7621.91</v>
      </c>
      <c r="O17" s="80"/>
    </row>
    <row r="18" spans="2:15" x14ac:dyDescent="0.2">
      <c r="D18" s="74"/>
      <c r="E18" s="74"/>
      <c r="F18" s="1">
        <f t="shared" si="0"/>
        <v>1</v>
      </c>
      <c r="G18" s="74">
        <f t="shared" si="1"/>
        <v>0</v>
      </c>
      <c r="I18" s="1" t="s">
        <v>443</v>
      </c>
      <c r="L18" s="72"/>
    </row>
    <row r="19" spans="2:15" x14ac:dyDescent="0.2">
      <c r="D19" s="74"/>
      <c r="E19" s="74"/>
      <c r="F19" s="74"/>
      <c r="G19" s="74"/>
      <c r="I19" s="1" t="s">
        <v>28</v>
      </c>
      <c r="L19" s="72">
        <v>1456.02</v>
      </c>
    </row>
    <row r="20" spans="2:15" ht="15" x14ac:dyDescent="0.25">
      <c r="B20" s="75" t="s">
        <v>444</v>
      </c>
      <c r="C20" s="75" t="s">
        <v>445</v>
      </c>
      <c r="D20" s="76" t="s">
        <v>446</v>
      </c>
      <c r="E20" s="76" t="s">
        <v>6</v>
      </c>
      <c r="F20" s="74"/>
      <c r="G20" s="74"/>
      <c r="I20" s="1" t="s">
        <v>74</v>
      </c>
      <c r="L20" s="72"/>
    </row>
    <row r="21" spans="2:15" ht="15" x14ac:dyDescent="0.25">
      <c r="D21" s="74"/>
      <c r="E21" s="74"/>
      <c r="F21" s="74"/>
      <c r="G21" s="74"/>
      <c r="H21" s="73"/>
      <c r="I21" s="1" t="s">
        <v>72</v>
      </c>
      <c r="L21" s="72"/>
    </row>
    <row r="22" spans="2:15" x14ac:dyDescent="0.2">
      <c r="D22" s="74"/>
      <c r="E22" s="74"/>
      <c r="F22" s="1">
        <f>IF(E22&gt;$C$6,0,1)</f>
        <v>1</v>
      </c>
      <c r="G22" s="74"/>
      <c r="I22" s="1" t="s">
        <v>24</v>
      </c>
      <c r="L22" s="72">
        <v>-3794.36</v>
      </c>
    </row>
    <row r="23" spans="2:15" ht="15" x14ac:dyDescent="0.25">
      <c r="D23" s="74"/>
      <c r="E23" s="74"/>
      <c r="F23" s="1">
        <f>IF(E23&gt;$C$6,0,1)</f>
        <v>1</v>
      </c>
      <c r="G23" s="74"/>
      <c r="I23" s="14" t="s">
        <v>25</v>
      </c>
      <c r="J23" s="14"/>
      <c r="K23" s="14"/>
      <c r="L23" s="27">
        <f>SUM(L16:L22)</f>
        <v>7586.0828000000001</v>
      </c>
    </row>
    <row r="24" spans="2:15" x14ac:dyDescent="0.2">
      <c r="D24" s="74"/>
      <c r="E24" s="74"/>
      <c r="F24" s="74"/>
      <c r="G24" s="74"/>
    </row>
    <row r="25" spans="2:15" x14ac:dyDescent="0.2">
      <c r="B25" s="13" t="s">
        <v>13</v>
      </c>
      <c r="C25" s="13"/>
      <c r="D25" s="77">
        <f>SUM(D12:D24)</f>
        <v>0</v>
      </c>
      <c r="E25" s="77"/>
      <c r="F25" s="77"/>
      <c r="G25" s="77">
        <f>SUM(G12:G24)</f>
        <v>0</v>
      </c>
    </row>
    <row r="26" spans="2:15" x14ac:dyDescent="0.2">
      <c r="B26" s="1" t="s">
        <v>14</v>
      </c>
      <c r="D26" s="78">
        <f>SUMPRODUCT(D12:D24,F12:F24)</f>
        <v>0</v>
      </c>
      <c r="E26" s="74"/>
      <c r="F26" s="74"/>
      <c r="G26" s="74"/>
    </row>
    <row r="27" spans="2:15" x14ac:dyDescent="0.2">
      <c r="D27" s="74"/>
      <c r="E27" s="74"/>
      <c r="F27" s="74"/>
      <c r="G27" s="74"/>
    </row>
    <row r="28" spans="2:15" x14ac:dyDescent="0.2">
      <c r="B28" s="1" t="s">
        <v>15</v>
      </c>
      <c r="D28" s="74"/>
      <c r="E28" s="74"/>
      <c r="F28" s="74"/>
      <c r="G28" s="78">
        <f>G25/C6</f>
        <v>0</v>
      </c>
    </row>
    <row r="29" spans="2:15" x14ac:dyDescent="0.2">
      <c r="B29" s="1" t="s">
        <v>16</v>
      </c>
      <c r="D29" s="74"/>
      <c r="E29" s="74"/>
      <c r="F29" s="74"/>
      <c r="G29" s="78">
        <f>D26-G28</f>
        <v>0</v>
      </c>
    </row>
    <row r="30" spans="2:15" ht="15" x14ac:dyDescent="0.25">
      <c r="B30" s="14" t="s">
        <v>17</v>
      </c>
      <c r="C30" s="14"/>
      <c r="D30" s="79"/>
      <c r="E30" s="79"/>
      <c r="F30" s="79"/>
      <c r="G30" s="79">
        <f>C8+G29</f>
        <v>50.12</v>
      </c>
    </row>
  </sheetData>
  <pageMargins left="0.7" right="0.7" top="0.75" bottom="0.75" header="0.3" footer="0.3"/>
  <pageSetup orientation="portrait" r:id="rId1"/>
  <legacy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32ED8-0501-4A09-8BEA-42EEC3197D12}">
  <sheetPr>
    <tabColor theme="9" tint="0.79998168889431442"/>
  </sheetPr>
  <dimension ref="B3:O30"/>
  <sheetViews>
    <sheetView workbookViewId="0"/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454</v>
      </c>
    </row>
    <row r="6" spans="2:12" x14ac:dyDescent="0.2">
      <c r="B6" s="1" t="s">
        <v>6</v>
      </c>
      <c r="C6" s="45">
        <v>16.649999999999999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44.592339000000003</v>
      </c>
      <c r="D8" s="19"/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D12" s="74"/>
      <c r="E12" s="74"/>
      <c r="F12" s="1">
        <f>IF(E12&gt;$C$6,0,1)</f>
        <v>1</v>
      </c>
      <c r="G12" s="74">
        <f>F12*E12*D12</f>
        <v>0</v>
      </c>
      <c r="I12" s="1" t="str">
        <f>"Current Price (as of "&amp;TEXT(C7,"m/d/yy")&amp;")"</f>
        <v>Current Price (as of 10/28/22)</v>
      </c>
      <c r="L12" s="19">
        <f>C6</f>
        <v>16.649999999999999</v>
      </c>
    </row>
    <row r="13" spans="2:12" x14ac:dyDescent="0.2">
      <c r="B13" s="1" t="s">
        <v>26</v>
      </c>
      <c r="D13" s="74">
        <f>0.37613+0.143783</f>
        <v>0.51991300000000007</v>
      </c>
      <c r="E13" s="74"/>
      <c r="F13" s="1">
        <f t="shared" ref="F13:F18" si="0">IF(E13&gt;$C$6,0,1)</f>
        <v>1</v>
      </c>
      <c r="G13" s="74">
        <f t="shared" ref="G13:G18" si="1">F13*E13*D13</f>
        <v>0</v>
      </c>
      <c r="I13" s="15" t="s">
        <v>71</v>
      </c>
      <c r="J13" s="15"/>
      <c r="K13" s="15"/>
      <c r="L13" s="16">
        <v>0</v>
      </c>
    </row>
    <row r="14" spans="2:12" x14ac:dyDescent="0.2">
      <c r="D14" s="74"/>
      <c r="E14" s="74"/>
      <c r="F14" s="1">
        <f t="shared" si="0"/>
        <v>1</v>
      </c>
      <c r="G14" s="74">
        <f t="shared" si="1"/>
        <v>0</v>
      </c>
      <c r="I14" s="1" t="s">
        <v>21</v>
      </c>
      <c r="L14" s="19">
        <f>L12*(1+L13)</f>
        <v>16.649999999999999</v>
      </c>
    </row>
    <row r="15" spans="2:12" x14ac:dyDescent="0.2">
      <c r="D15" s="74"/>
      <c r="E15" s="74"/>
      <c r="F15" s="1">
        <f t="shared" si="0"/>
        <v>1</v>
      </c>
      <c r="G15" s="74">
        <f t="shared" si="1"/>
        <v>0</v>
      </c>
      <c r="I15" s="1" t="s">
        <v>19</v>
      </c>
      <c r="L15" s="8">
        <f>G30</f>
        <v>45.112252000000005</v>
      </c>
    </row>
    <row r="16" spans="2:12" ht="15" x14ac:dyDescent="0.25">
      <c r="D16" s="74"/>
      <c r="E16" s="74"/>
      <c r="F16" s="1">
        <f t="shared" si="0"/>
        <v>1</v>
      </c>
      <c r="G16" s="74">
        <f t="shared" si="1"/>
        <v>0</v>
      </c>
      <c r="I16" s="14" t="s">
        <v>22</v>
      </c>
      <c r="J16" s="14"/>
      <c r="K16" s="14"/>
      <c r="L16" s="27">
        <f>L14*L15</f>
        <v>751.11899579999999</v>
      </c>
    </row>
    <row r="17" spans="2:15" x14ac:dyDescent="0.2">
      <c r="D17" s="74"/>
      <c r="E17" s="74"/>
      <c r="F17" s="1">
        <f t="shared" si="0"/>
        <v>1</v>
      </c>
      <c r="G17" s="74">
        <f t="shared" si="1"/>
        <v>0</v>
      </c>
      <c r="I17" s="1" t="s">
        <v>23</v>
      </c>
      <c r="L17" s="72">
        <f>1.855+189.556+49.806</f>
        <v>241.21699999999998</v>
      </c>
      <c r="O17" s="80"/>
    </row>
    <row r="18" spans="2:15" x14ac:dyDescent="0.2">
      <c r="D18" s="74"/>
      <c r="E18" s="74"/>
      <c r="F18" s="1">
        <f t="shared" si="0"/>
        <v>1</v>
      </c>
      <c r="G18" s="74">
        <f t="shared" si="1"/>
        <v>0</v>
      </c>
      <c r="I18" s="1" t="s">
        <v>443</v>
      </c>
      <c r="L18" s="72"/>
    </row>
    <row r="19" spans="2:15" x14ac:dyDescent="0.2">
      <c r="D19" s="74"/>
      <c r="E19" s="74"/>
      <c r="F19" s="74"/>
      <c r="G19" s="74"/>
      <c r="I19" s="1" t="s">
        <v>28</v>
      </c>
      <c r="L19" s="72">
        <v>5.4249999999999998</v>
      </c>
    </row>
    <row r="20" spans="2:15" ht="15" x14ac:dyDescent="0.25">
      <c r="B20" s="75" t="s">
        <v>444</v>
      </c>
      <c r="C20" s="75" t="s">
        <v>445</v>
      </c>
      <c r="D20" s="76" t="s">
        <v>446</v>
      </c>
      <c r="E20" s="76" t="s">
        <v>6</v>
      </c>
      <c r="F20" s="74"/>
      <c r="G20" s="74"/>
      <c r="I20" s="1" t="s">
        <v>74</v>
      </c>
      <c r="L20" s="72"/>
    </row>
    <row r="21" spans="2:15" ht="15" x14ac:dyDescent="0.25">
      <c r="D21" s="74"/>
      <c r="E21" s="74"/>
      <c r="F21" s="74"/>
      <c r="G21" s="74"/>
      <c r="H21" s="73"/>
      <c r="I21" s="1" t="s">
        <v>72</v>
      </c>
      <c r="L21" s="72"/>
    </row>
    <row r="22" spans="2:15" x14ac:dyDescent="0.2">
      <c r="D22" s="74"/>
      <c r="E22" s="74"/>
      <c r="F22" s="1">
        <f>IF(E22&gt;$C$6,0,1)</f>
        <v>1</v>
      </c>
      <c r="G22" s="74"/>
      <c r="I22" s="1" t="s">
        <v>24</v>
      </c>
      <c r="L22" s="72">
        <f>-(138.347+0.98+35.396)</f>
        <v>-174.72300000000001</v>
      </c>
    </row>
    <row r="23" spans="2:15" ht="15" x14ac:dyDescent="0.25">
      <c r="D23" s="74"/>
      <c r="E23" s="74"/>
      <c r="F23" s="1">
        <f>IF(E23&gt;$C$6,0,1)</f>
        <v>1</v>
      </c>
      <c r="G23" s="74"/>
      <c r="I23" s="14" t="s">
        <v>25</v>
      </c>
      <c r="J23" s="14"/>
      <c r="K23" s="14"/>
      <c r="L23" s="27">
        <f>SUM(L16:L22)</f>
        <v>823.03799579999986</v>
      </c>
    </row>
    <row r="24" spans="2:15" x14ac:dyDescent="0.2">
      <c r="D24" s="74"/>
      <c r="E24" s="74"/>
      <c r="F24" s="74"/>
      <c r="G24" s="74"/>
    </row>
    <row r="25" spans="2:15" x14ac:dyDescent="0.2">
      <c r="B25" s="13" t="s">
        <v>13</v>
      </c>
      <c r="C25" s="13"/>
      <c r="D25" s="77">
        <f>SUM(D12:D24)</f>
        <v>0.51991300000000007</v>
      </c>
      <c r="E25" s="77"/>
      <c r="F25" s="77"/>
      <c r="G25" s="77">
        <f>SUM(G12:G24)</f>
        <v>0</v>
      </c>
    </row>
    <row r="26" spans="2:15" x14ac:dyDescent="0.2">
      <c r="B26" s="1" t="s">
        <v>14</v>
      </c>
      <c r="D26" s="78">
        <f>SUMPRODUCT(D12:D24,F12:F24)</f>
        <v>0.51991300000000007</v>
      </c>
      <c r="E26" s="74"/>
      <c r="F26" s="74"/>
      <c r="G26" s="74"/>
    </row>
    <row r="27" spans="2:15" x14ac:dyDescent="0.2">
      <c r="D27" s="74"/>
      <c r="E27" s="74"/>
      <c r="F27" s="74"/>
      <c r="G27" s="74"/>
    </row>
    <row r="28" spans="2:15" x14ac:dyDescent="0.2">
      <c r="B28" s="1" t="s">
        <v>15</v>
      </c>
      <c r="D28" s="74"/>
      <c r="E28" s="74"/>
      <c r="F28" s="74"/>
      <c r="G28" s="78">
        <f>G25/C6</f>
        <v>0</v>
      </c>
    </row>
    <row r="29" spans="2:15" x14ac:dyDescent="0.2">
      <c r="B29" s="1" t="s">
        <v>16</v>
      </c>
      <c r="D29" s="74"/>
      <c r="E29" s="74"/>
      <c r="F29" s="74"/>
      <c r="G29" s="78">
        <f>D26-G28</f>
        <v>0.51991300000000007</v>
      </c>
    </row>
    <row r="30" spans="2:15" ht="15" x14ac:dyDescent="0.25">
      <c r="B30" s="14" t="s">
        <v>17</v>
      </c>
      <c r="C30" s="14"/>
      <c r="D30" s="79"/>
      <c r="E30" s="79"/>
      <c r="F30" s="79"/>
      <c r="G30" s="79">
        <f>C8+G29</f>
        <v>45.112252000000005</v>
      </c>
    </row>
  </sheetData>
  <pageMargins left="0.7" right="0.7" top="0.75" bottom="0.75" header="0.3" footer="0.3"/>
  <pageSetup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9346A-B152-4D2B-8D4D-D60E1E8A4C9B}">
  <sheetPr>
    <tabColor theme="5" tint="0.59999389629810485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B7AB8-D3F6-4C1F-83AE-AD86AFCC2A96}">
  <sheetPr>
    <tabColor theme="5" tint="0.59999389629810485"/>
  </sheetPr>
  <dimension ref="B3:O30"/>
  <sheetViews>
    <sheetView workbookViewId="0"/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455</v>
      </c>
    </row>
    <row r="6" spans="2:12" x14ac:dyDescent="0.2">
      <c r="B6" s="1" t="s">
        <v>6</v>
      </c>
      <c r="C6" s="45">
        <v>76.430000000000007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595.09454000000005</v>
      </c>
      <c r="D8" s="19"/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D12" s="74"/>
      <c r="E12" s="74"/>
      <c r="F12" s="1">
        <f>IF(E12&gt;$C$6,0,1)</f>
        <v>1</v>
      </c>
      <c r="G12" s="74">
        <f>F12*E12*D12</f>
        <v>0</v>
      </c>
      <c r="I12" s="1" t="str">
        <f>"Current Price (as of "&amp;TEXT(C7,"m/d/yy")&amp;")"</f>
        <v>Current Price (as of 10/28/22)</v>
      </c>
      <c r="L12" s="19">
        <f>C6</f>
        <v>76.430000000000007</v>
      </c>
    </row>
    <row r="13" spans="2:12" x14ac:dyDescent="0.2">
      <c r="B13" s="1" t="s">
        <v>9</v>
      </c>
      <c r="D13" s="74">
        <v>68.441301999999993</v>
      </c>
      <c r="E13" s="74">
        <v>45.24</v>
      </c>
      <c r="F13" s="1">
        <f t="shared" ref="F13:F18" si="0">IF(E13&gt;$C$6,0,1)</f>
        <v>1</v>
      </c>
      <c r="G13" s="74">
        <f t="shared" ref="G13:G18" si="1">F13*E13*D13</f>
        <v>3096.2845024799999</v>
      </c>
      <c r="I13" s="15" t="s">
        <v>71</v>
      </c>
      <c r="J13" s="15"/>
      <c r="K13" s="15"/>
      <c r="L13" s="16">
        <v>0</v>
      </c>
    </row>
    <row r="14" spans="2:12" x14ac:dyDescent="0.2">
      <c r="B14" s="1" t="s">
        <v>26</v>
      </c>
      <c r="D14" s="74">
        <v>2.1312000000000001E-2</v>
      </c>
      <c r="E14" s="74"/>
      <c r="F14" s="1">
        <f t="shared" si="0"/>
        <v>1</v>
      </c>
      <c r="G14" s="74">
        <f t="shared" si="1"/>
        <v>0</v>
      </c>
      <c r="I14" s="1" t="s">
        <v>21</v>
      </c>
      <c r="L14" s="19">
        <f>L12*(1+L13)</f>
        <v>76.430000000000007</v>
      </c>
    </row>
    <row r="15" spans="2:12" x14ac:dyDescent="0.2">
      <c r="D15" s="74"/>
      <c r="E15" s="74"/>
      <c r="F15" s="1">
        <f t="shared" si="0"/>
        <v>1</v>
      </c>
      <c r="G15" s="74">
        <f t="shared" si="1"/>
        <v>0</v>
      </c>
      <c r="I15" s="1" t="s">
        <v>19</v>
      </c>
      <c r="L15" s="8">
        <f>G30</f>
        <v>623.04577754468141</v>
      </c>
    </row>
    <row r="16" spans="2:12" ht="15" x14ac:dyDescent="0.25">
      <c r="D16" s="74"/>
      <c r="E16" s="74"/>
      <c r="F16" s="1">
        <f t="shared" si="0"/>
        <v>1</v>
      </c>
      <c r="G16" s="74">
        <f t="shared" si="1"/>
        <v>0</v>
      </c>
      <c r="I16" s="14" t="s">
        <v>22</v>
      </c>
      <c r="J16" s="14"/>
      <c r="K16" s="14"/>
      <c r="L16" s="27">
        <f>L14*L15</f>
        <v>47619.388777740001</v>
      </c>
    </row>
    <row r="17" spans="2:15" x14ac:dyDescent="0.2">
      <c r="D17" s="74"/>
      <c r="E17" s="74"/>
      <c r="F17" s="1">
        <f t="shared" si="0"/>
        <v>1</v>
      </c>
      <c r="G17" s="74">
        <f t="shared" si="1"/>
        <v>0</v>
      </c>
      <c r="I17" s="1" t="s">
        <v>23</v>
      </c>
      <c r="L17" s="72">
        <f>4750.3+2.9</f>
        <v>4753.2</v>
      </c>
      <c r="O17" s="80"/>
    </row>
    <row r="18" spans="2:15" x14ac:dyDescent="0.2">
      <c r="D18" s="74"/>
      <c r="E18" s="74"/>
      <c r="F18" s="1">
        <f t="shared" si="0"/>
        <v>1</v>
      </c>
      <c r="G18" s="74">
        <f t="shared" si="1"/>
        <v>0</v>
      </c>
      <c r="I18" s="1" t="s">
        <v>443</v>
      </c>
      <c r="L18" s="72"/>
    </row>
    <row r="19" spans="2:15" x14ac:dyDescent="0.2">
      <c r="D19" s="74"/>
      <c r="E19" s="74"/>
      <c r="F19" s="74"/>
      <c r="G19" s="74"/>
      <c r="I19" s="1" t="s">
        <v>28</v>
      </c>
      <c r="L19" s="72">
        <f>57.8+20.2</f>
        <v>78</v>
      </c>
    </row>
    <row r="20" spans="2:15" ht="15" x14ac:dyDescent="0.25">
      <c r="B20" s="75" t="s">
        <v>444</v>
      </c>
      <c r="C20" s="75" t="s">
        <v>445</v>
      </c>
      <c r="D20" s="76" t="s">
        <v>446</v>
      </c>
      <c r="E20" s="76" t="s">
        <v>6</v>
      </c>
      <c r="F20" s="74"/>
      <c r="G20" s="74"/>
      <c r="I20" s="1" t="s">
        <v>74</v>
      </c>
      <c r="L20" s="72"/>
    </row>
    <row r="21" spans="2:15" ht="15" x14ac:dyDescent="0.25">
      <c r="D21" s="74"/>
      <c r="E21" s="74"/>
      <c r="F21" s="74"/>
      <c r="G21" s="74"/>
      <c r="H21" s="73"/>
      <c r="I21" s="1" t="s">
        <v>72</v>
      </c>
      <c r="L21" s="72"/>
    </row>
    <row r="22" spans="2:15" x14ac:dyDescent="0.2">
      <c r="D22" s="74"/>
      <c r="E22" s="74"/>
      <c r="F22" s="1">
        <f>IF(E22&gt;$C$6,0,1)</f>
        <v>1</v>
      </c>
      <c r="G22" s="74"/>
      <c r="I22" s="1" t="s">
        <v>24</v>
      </c>
      <c r="L22" s="72">
        <f>-1189-63</f>
        <v>-1252</v>
      </c>
    </row>
    <row r="23" spans="2:15" ht="15" x14ac:dyDescent="0.25">
      <c r="D23" s="74"/>
      <c r="E23" s="74"/>
      <c r="F23" s="1">
        <f>IF(E23&gt;$C$6,0,1)</f>
        <v>1</v>
      </c>
      <c r="G23" s="74"/>
      <c r="I23" s="14" t="s">
        <v>25</v>
      </c>
      <c r="J23" s="14"/>
      <c r="K23" s="14"/>
      <c r="L23" s="27">
        <f>SUM(L16:L22)</f>
        <v>51198.588777739998</v>
      </c>
    </row>
    <row r="24" spans="2:15" x14ac:dyDescent="0.2">
      <c r="D24" s="74"/>
      <c r="E24" s="74"/>
      <c r="F24" s="74"/>
      <c r="G24" s="74"/>
    </row>
    <row r="25" spans="2:15" x14ac:dyDescent="0.2">
      <c r="B25" s="13" t="s">
        <v>13</v>
      </c>
      <c r="C25" s="13"/>
      <c r="D25" s="77">
        <f>SUM(D12:D24)</f>
        <v>68.462613999999988</v>
      </c>
      <c r="E25" s="77"/>
      <c r="F25" s="77"/>
      <c r="G25" s="77">
        <f>SUM(G12:G24)</f>
        <v>3096.2845024799999</v>
      </c>
    </row>
    <row r="26" spans="2:15" x14ac:dyDescent="0.2">
      <c r="B26" s="1" t="s">
        <v>14</v>
      </c>
      <c r="D26" s="78">
        <f>SUMPRODUCT(D12:D24,F12:F24)</f>
        <v>68.462613999999988</v>
      </c>
      <c r="E26" s="74"/>
      <c r="F26" s="74"/>
      <c r="G26" s="74"/>
    </row>
    <row r="27" spans="2:15" x14ac:dyDescent="0.2">
      <c r="D27" s="74"/>
      <c r="E27" s="74"/>
      <c r="F27" s="74"/>
      <c r="G27" s="74"/>
    </row>
    <row r="28" spans="2:15" x14ac:dyDescent="0.2">
      <c r="B28" s="1" t="s">
        <v>15</v>
      </c>
      <c r="D28" s="74"/>
      <c r="E28" s="74"/>
      <c r="F28" s="74"/>
      <c r="G28" s="78">
        <f>G25/C6</f>
        <v>40.51137645531859</v>
      </c>
    </row>
    <row r="29" spans="2:15" x14ac:dyDescent="0.2">
      <c r="B29" s="1" t="s">
        <v>16</v>
      </c>
      <c r="D29" s="74"/>
      <c r="E29" s="74"/>
      <c r="F29" s="74"/>
      <c r="G29" s="78">
        <f>D26-G28</f>
        <v>27.951237544681398</v>
      </c>
    </row>
    <row r="30" spans="2:15" ht="15" x14ac:dyDescent="0.25">
      <c r="B30" s="14" t="s">
        <v>17</v>
      </c>
      <c r="C30" s="14"/>
      <c r="D30" s="79"/>
      <c r="E30" s="79"/>
      <c r="F30" s="79"/>
      <c r="G30" s="79">
        <f>C8+G29</f>
        <v>623.04577754468141</v>
      </c>
    </row>
  </sheetData>
  <pageMargins left="0.7" right="0.7" top="0.75" bottom="0.75" header="0.3" footer="0.3"/>
  <pageSetup orientation="portrait" r:id="rId1"/>
  <legacy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B9D0B-BEBA-450C-9307-AB0D44F6E2A3}">
  <sheetPr>
    <tabColor theme="5" tint="0.59999389629810485"/>
  </sheetPr>
  <dimension ref="B3:O30"/>
  <sheetViews>
    <sheetView workbookViewId="0"/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5.71093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457</v>
      </c>
    </row>
    <row r="6" spans="2:12" x14ac:dyDescent="0.2">
      <c r="B6" s="1" t="s">
        <v>6</v>
      </c>
      <c r="C6" s="45">
        <v>150.28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398.3</v>
      </c>
      <c r="D8" s="19"/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D12" s="74"/>
      <c r="E12" s="74"/>
      <c r="F12" s="1">
        <f>IF(E12&gt;$C$6,0,1)</f>
        <v>1</v>
      </c>
      <c r="G12" s="74">
        <f>F12*E12*D12</f>
        <v>0</v>
      </c>
      <c r="I12" s="1" t="str">
        <f>"Current Price (as of "&amp;TEXT(C7,"m/d/yy")&amp;")"</f>
        <v>Current Price (as of 10/28/22)</v>
      </c>
      <c r="L12" s="19">
        <f>C6</f>
        <v>150.28</v>
      </c>
    </row>
    <row r="13" spans="2:12" x14ac:dyDescent="0.2">
      <c r="B13" s="1" t="s">
        <v>9</v>
      </c>
      <c r="D13" s="74">
        <v>3.2</v>
      </c>
      <c r="E13" s="74">
        <v>85.34</v>
      </c>
      <c r="F13" s="1">
        <f t="shared" ref="F13:F18" si="0">IF(E13&gt;$C$6,0,1)</f>
        <v>1</v>
      </c>
      <c r="G13" s="74">
        <f t="shared" ref="G13:G18" si="1">F13*E13*D13</f>
        <v>273.08800000000002</v>
      </c>
      <c r="I13" s="15" t="s">
        <v>71</v>
      </c>
      <c r="J13" s="15"/>
      <c r="K13" s="15"/>
      <c r="L13" s="16">
        <v>0</v>
      </c>
    </row>
    <row r="14" spans="2:12" x14ac:dyDescent="0.2">
      <c r="B14" s="1" t="s">
        <v>26</v>
      </c>
      <c r="D14" s="74">
        <v>1.3</v>
      </c>
      <c r="E14" s="74"/>
      <c r="F14" s="1">
        <f t="shared" si="0"/>
        <v>1</v>
      </c>
      <c r="G14" s="74">
        <f t="shared" si="1"/>
        <v>0</v>
      </c>
      <c r="I14" s="1" t="s">
        <v>21</v>
      </c>
      <c r="L14" s="19">
        <f>L12*(1+L13)</f>
        <v>150.28</v>
      </c>
    </row>
    <row r="15" spans="2:12" x14ac:dyDescent="0.2">
      <c r="B15" s="1" t="s">
        <v>27</v>
      </c>
      <c r="D15" s="74">
        <v>0.4</v>
      </c>
      <c r="E15" s="74"/>
      <c r="F15" s="1">
        <f t="shared" si="0"/>
        <v>1</v>
      </c>
      <c r="G15" s="74">
        <f t="shared" si="1"/>
        <v>0</v>
      </c>
      <c r="I15" s="1" t="s">
        <v>19</v>
      </c>
      <c r="L15" s="8">
        <f>G30</f>
        <v>401.38280542986428</v>
      </c>
    </row>
    <row r="16" spans="2:12" ht="15" x14ac:dyDescent="0.25">
      <c r="D16" s="74"/>
      <c r="E16" s="74"/>
      <c r="F16" s="1">
        <f t="shared" si="0"/>
        <v>1</v>
      </c>
      <c r="G16" s="74">
        <f t="shared" si="1"/>
        <v>0</v>
      </c>
      <c r="I16" s="14" t="s">
        <v>22</v>
      </c>
      <c r="J16" s="14"/>
      <c r="K16" s="14"/>
      <c r="L16" s="27">
        <f>L14*L15</f>
        <v>60319.808000000005</v>
      </c>
    </row>
    <row r="17" spans="2:15" x14ac:dyDescent="0.2">
      <c r="D17" s="74"/>
      <c r="E17" s="74"/>
      <c r="F17" s="1">
        <f t="shared" si="0"/>
        <v>1</v>
      </c>
      <c r="G17" s="74">
        <f t="shared" si="1"/>
        <v>0</v>
      </c>
      <c r="I17" s="1" t="s">
        <v>23</v>
      </c>
      <c r="L17" s="72">
        <f>1392+6277+2030</f>
        <v>9699</v>
      </c>
      <c r="O17" s="80"/>
    </row>
    <row r="18" spans="2:15" x14ac:dyDescent="0.2">
      <c r="D18" s="74"/>
      <c r="E18" s="74"/>
      <c r="F18" s="1">
        <f t="shared" si="0"/>
        <v>1</v>
      </c>
      <c r="G18" s="74">
        <f t="shared" si="1"/>
        <v>0</v>
      </c>
      <c r="I18" s="1" t="s">
        <v>443</v>
      </c>
      <c r="L18" s="72"/>
    </row>
    <row r="19" spans="2:15" x14ac:dyDescent="0.2">
      <c r="D19" s="74"/>
      <c r="E19" s="74"/>
      <c r="F19" s="74"/>
      <c r="G19" s="74"/>
      <c r="I19" s="1" t="s">
        <v>28</v>
      </c>
      <c r="L19" s="72">
        <v>36</v>
      </c>
    </row>
    <row r="20" spans="2:15" ht="15" x14ac:dyDescent="0.25">
      <c r="B20" s="75" t="s">
        <v>444</v>
      </c>
      <c r="C20" s="75" t="s">
        <v>445</v>
      </c>
      <c r="D20" s="76" t="s">
        <v>446</v>
      </c>
      <c r="E20" s="76" t="s">
        <v>6</v>
      </c>
      <c r="F20" s="74"/>
      <c r="G20" s="74"/>
      <c r="I20" s="1" t="s">
        <v>74</v>
      </c>
      <c r="L20" s="72"/>
    </row>
    <row r="21" spans="2:15" ht="15" x14ac:dyDescent="0.25">
      <c r="D21" s="74"/>
      <c r="E21" s="74"/>
      <c r="F21" s="74"/>
      <c r="G21" s="74"/>
      <c r="H21" s="73"/>
      <c r="I21" s="1" t="s">
        <v>72</v>
      </c>
      <c r="L21" s="72"/>
    </row>
    <row r="22" spans="2:15" x14ac:dyDescent="0.2">
      <c r="D22" s="74"/>
      <c r="E22" s="74"/>
      <c r="F22" s="1">
        <f>IF(E22&gt;$C$6,0,1)</f>
        <v>1</v>
      </c>
      <c r="G22" s="74"/>
      <c r="I22" s="1" t="s">
        <v>24</v>
      </c>
      <c r="L22" s="72">
        <f>-364-259</f>
        <v>-623</v>
      </c>
    </row>
    <row r="23" spans="2:15" ht="15" x14ac:dyDescent="0.25">
      <c r="D23" s="74"/>
      <c r="E23" s="74"/>
      <c r="F23" s="1">
        <f>IF(E23&gt;$C$6,0,1)</f>
        <v>1</v>
      </c>
      <c r="G23" s="74"/>
      <c r="I23" s="14" t="s">
        <v>25</v>
      </c>
      <c r="J23" s="14"/>
      <c r="K23" s="14"/>
      <c r="L23" s="27">
        <f>SUM(L16:L22)</f>
        <v>69431.808000000005</v>
      </c>
    </row>
    <row r="24" spans="2:15" x14ac:dyDescent="0.2">
      <c r="D24" s="74"/>
      <c r="E24" s="74"/>
      <c r="F24" s="74"/>
      <c r="G24" s="74"/>
    </row>
    <row r="25" spans="2:15" x14ac:dyDescent="0.2">
      <c r="B25" s="13" t="s">
        <v>13</v>
      </c>
      <c r="C25" s="13"/>
      <c r="D25" s="77">
        <f>SUM(D12:D24)</f>
        <v>4.9000000000000004</v>
      </c>
      <c r="E25" s="77"/>
      <c r="F25" s="77"/>
      <c r="G25" s="77">
        <f>SUM(G12:G24)</f>
        <v>273.08800000000002</v>
      </c>
    </row>
    <row r="26" spans="2:15" x14ac:dyDescent="0.2">
      <c r="B26" s="1" t="s">
        <v>14</v>
      </c>
      <c r="D26" s="78">
        <f>SUMPRODUCT(D12:D24,F12:F24)</f>
        <v>4.9000000000000004</v>
      </c>
      <c r="E26" s="74"/>
      <c r="F26" s="74"/>
      <c r="G26" s="74"/>
    </row>
    <row r="27" spans="2:15" x14ac:dyDescent="0.2">
      <c r="D27" s="74"/>
      <c r="E27" s="74"/>
      <c r="F27" s="74"/>
      <c r="G27" s="74"/>
    </row>
    <row r="28" spans="2:15" x14ac:dyDescent="0.2">
      <c r="B28" s="1" t="s">
        <v>15</v>
      </c>
      <c r="D28" s="74"/>
      <c r="E28" s="74"/>
      <c r="F28" s="74"/>
      <c r="G28" s="78">
        <f>G25/C6</f>
        <v>1.8171945701357468</v>
      </c>
    </row>
    <row r="29" spans="2:15" x14ac:dyDescent="0.2">
      <c r="B29" s="1" t="s">
        <v>16</v>
      </c>
      <c r="D29" s="74"/>
      <c r="E29" s="74"/>
      <c r="F29" s="74"/>
      <c r="G29" s="78">
        <f>D26-G28</f>
        <v>3.0828054298642535</v>
      </c>
    </row>
    <row r="30" spans="2:15" ht="15" x14ac:dyDescent="0.25">
      <c r="B30" s="14" t="s">
        <v>17</v>
      </c>
      <c r="C30" s="14"/>
      <c r="D30" s="79"/>
      <c r="E30" s="79"/>
      <c r="F30" s="79"/>
      <c r="G30" s="79">
        <f>C8+G29</f>
        <v>401.38280542986428</v>
      </c>
    </row>
  </sheetData>
  <pageMargins left="0.7" right="0.7" top="0.75" bottom="0.75" header="0.3" footer="0.3"/>
  <pageSetup orientation="portrait" r:id="rId1"/>
  <legacy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1A4EA-8BCB-44E5-9987-FACD3701DE6D}">
  <sheetPr>
    <tabColor theme="5" tint="0.59999389629810485"/>
  </sheetPr>
  <dimension ref="B3:O30"/>
  <sheetViews>
    <sheetView workbookViewId="0">
      <selection activeCell="J29" sqref="J29"/>
    </sheetView>
  </sheetViews>
  <sheetFormatPr defaultRowHeight="14.25" x14ac:dyDescent="0.2"/>
  <cols>
    <col min="1" max="1" width="9.140625" style="1"/>
    <col min="2" max="2" width="16.140625" style="1" customWidth="1"/>
    <col min="3" max="3" width="11.28515625" style="1" bestFit="1" customWidth="1"/>
    <col min="4" max="6" width="9.140625" style="1"/>
    <col min="7" max="7" width="10.7109375" style="1" bestFit="1" customWidth="1"/>
    <col min="8" max="8" width="10.7109375" style="1" customWidth="1"/>
    <col min="9" max="9" width="17.5703125" style="1" customWidth="1"/>
    <col min="10" max="11" width="9.140625" style="1"/>
    <col min="12" max="12" width="12.85546875" style="1" bestFit="1" customWidth="1"/>
    <col min="13" max="16384" width="9.140625" style="1"/>
  </cols>
  <sheetData>
    <row r="3" spans="2:12" ht="15" x14ac:dyDescent="0.25">
      <c r="B3" s="6" t="s">
        <v>70</v>
      </c>
      <c r="C3" s="6"/>
      <c r="D3" s="6"/>
      <c r="E3" s="6"/>
      <c r="F3" s="6"/>
      <c r="G3" s="6"/>
      <c r="H3" s="6"/>
      <c r="I3" s="6"/>
      <c r="J3" s="6"/>
      <c r="K3" s="6"/>
      <c r="L3" s="6"/>
    </row>
    <row r="5" spans="2:12" x14ac:dyDescent="0.2">
      <c r="B5" s="1" t="s">
        <v>5</v>
      </c>
      <c r="C5" s="44" t="s">
        <v>456</v>
      </c>
    </row>
    <row r="6" spans="2:12" x14ac:dyDescent="0.2">
      <c r="B6" s="1" t="s">
        <v>6</v>
      </c>
      <c r="C6" s="45">
        <v>122.65</v>
      </c>
    </row>
    <row r="7" spans="2:12" x14ac:dyDescent="0.2">
      <c r="B7" s="1" t="s">
        <v>7</v>
      </c>
      <c r="C7" s="82">
        <f>Cover!$B$35</f>
        <v>44862</v>
      </c>
    </row>
    <row r="8" spans="2:12" x14ac:dyDescent="0.2">
      <c r="B8" s="1" t="s">
        <v>20</v>
      </c>
      <c r="C8" s="46">
        <v>319.83896800000002</v>
      </c>
      <c r="D8" s="19"/>
    </row>
    <row r="10" spans="2:12" ht="15" thickBot="1" x14ac:dyDescent="0.25"/>
    <row r="11" spans="2:12" ht="15.75" thickBot="1" x14ac:dyDescent="0.3">
      <c r="B11" s="42"/>
      <c r="C11" s="43"/>
      <c r="D11" s="40" t="s">
        <v>9</v>
      </c>
      <c r="E11" s="40" t="s">
        <v>10</v>
      </c>
      <c r="F11" s="40" t="s">
        <v>11</v>
      </c>
      <c r="G11" s="41" t="s">
        <v>12</v>
      </c>
      <c r="I11" s="39" t="s">
        <v>8</v>
      </c>
      <c r="J11" s="40"/>
      <c r="K11" s="40"/>
      <c r="L11" s="41"/>
    </row>
    <row r="12" spans="2:12" x14ac:dyDescent="0.2">
      <c r="D12" s="74"/>
      <c r="E12" s="74"/>
      <c r="F12" s="1">
        <f>IF(E12&gt;$C$6,0,1)</f>
        <v>1</v>
      </c>
      <c r="G12" s="74">
        <f>F12*E12*D12</f>
        <v>0</v>
      </c>
      <c r="I12" s="1" t="str">
        <f>"Current Price (as of "&amp;TEXT(C7,"m/d/yy")&amp;")"</f>
        <v>Current Price (as of 10/28/22)</v>
      </c>
      <c r="L12" s="19">
        <f>C6</f>
        <v>122.65</v>
      </c>
    </row>
    <row r="13" spans="2:12" x14ac:dyDescent="0.2">
      <c r="B13" s="1" t="s">
        <v>9</v>
      </c>
      <c r="D13" s="74">
        <v>6.1489440000000002</v>
      </c>
      <c r="E13" s="74">
        <v>88</v>
      </c>
      <c r="F13" s="1">
        <f t="shared" ref="F13:F18" si="0">IF(E13&gt;$C$6,0,1)</f>
        <v>1</v>
      </c>
      <c r="G13" s="74">
        <f t="shared" ref="G13:G18" si="1">F13*E13*D13</f>
        <v>541.10707200000002</v>
      </c>
      <c r="I13" s="15" t="s">
        <v>71</v>
      </c>
      <c r="J13" s="15"/>
      <c r="K13" s="15"/>
      <c r="L13" s="16">
        <v>0</v>
      </c>
    </row>
    <row r="14" spans="2:12" x14ac:dyDescent="0.2">
      <c r="B14" s="1" t="s">
        <v>26</v>
      </c>
      <c r="D14" s="74">
        <f>0.616645</f>
        <v>0.616645</v>
      </c>
      <c r="E14" s="74"/>
      <c r="F14" s="1">
        <f t="shared" si="0"/>
        <v>1</v>
      </c>
      <c r="G14" s="74">
        <f t="shared" si="1"/>
        <v>0</v>
      </c>
      <c r="I14" s="1" t="s">
        <v>21</v>
      </c>
      <c r="L14" s="19">
        <f>L12*(1+L13)</f>
        <v>122.65</v>
      </c>
    </row>
    <row r="15" spans="2:12" x14ac:dyDescent="0.2">
      <c r="B15" s="1" t="s">
        <v>27</v>
      </c>
      <c r="D15" s="74">
        <v>0.62607000000000002</v>
      </c>
      <c r="E15" s="74"/>
      <c r="F15" s="1">
        <f t="shared" si="0"/>
        <v>1</v>
      </c>
      <c r="G15" s="74">
        <f t="shared" si="1"/>
        <v>0</v>
      </c>
      <c r="I15" s="1" t="s">
        <v>19</v>
      </c>
      <c r="L15" s="8">
        <f>G30</f>
        <v>322.8188286143498</v>
      </c>
    </row>
    <row r="16" spans="2:12" ht="15" x14ac:dyDescent="0.25">
      <c r="D16" s="74"/>
      <c r="E16" s="74"/>
      <c r="F16" s="1">
        <f t="shared" si="0"/>
        <v>1</v>
      </c>
      <c r="G16" s="74">
        <f t="shared" si="1"/>
        <v>0</v>
      </c>
      <c r="I16" s="14" t="s">
        <v>22</v>
      </c>
      <c r="J16" s="14"/>
      <c r="K16" s="14"/>
      <c r="L16" s="27">
        <f>L14*L15</f>
        <v>39593.729329550006</v>
      </c>
    </row>
    <row r="17" spans="2:15" x14ac:dyDescent="0.2">
      <c r="D17" s="74"/>
      <c r="E17" s="74"/>
      <c r="F17" s="1">
        <f t="shared" si="0"/>
        <v>1</v>
      </c>
      <c r="G17" s="74">
        <f t="shared" si="1"/>
        <v>0</v>
      </c>
      <c r="I17" s="1" t="s">
        <v>23</v>
      </c>
      <c r="L17" s="72">
        <f>3380+822</f>
        <v>4202</v>
      </c>
      <c r="O17" s="80"/>
    </row>
    <row r="18" spans="2:15" x14ac:dyDescent="0.2">
      <c r="D18" s="74"/>
      <c r="E18" s="74"/>
      <c r="F18" s="1">
        <f t="shared" si="0"/>
        <v>1</v>
      </c>
      <c r="G18" s="74">
        <f t="shared" si="1"/>
        <v>0</v>
      </c>
      <c r="I18" s="1" t="s">
        <v>443</v>
      </c>
      <c r="L18" s="72"/>
    </row>
    <row r="19" spans="2:15" x14ac:dyDescent="0.2">
      <c r="D19" s="74"/>
      <c r="E19" s="74"/>
      <c r="F19" s="74"/>
      <c r="G19" s="74"/>
      <c r="I19" s="1" t="s">
        <v>28</v>
      </c>
      <c r="L19" s="72">
        <f>103</f>
        <v>103</v>
      </c>
    </row>
    <row r="20" spans="2:15" ht="15" x14ac:dyDescent="0.25">
      <c r="B20" s="75" t="s">
        <v>444</v>
      </c>
      <c r="C20" s="75" t="s">
        <v>445</v>
      </c>
      <c r="D20" s="76" t="s">
        <v>446</v>
      </c>
      <c r="E20" s="76" t="s">
        <v>6</v>
      </c>
      <c r="F20" s="74"/>
      <c r="G20" s="74"/>
      <c r="I20" s="1" t="s">
        <v>74</v>
      </c>
      <c r="L20" s="72"/>
    </row>
    <row r="21" spans="2:15" ht="15" x14ac:dyDescent="0.25">
      <c r="D21" s="74"/>
      <c r="E21" s="74"/>
      <c r="F21" s="74"/>
      <c r="G21" s="74"/>
      <c r="H21" s="73"/>
      <c r="I21" s="1" t="s">
        <v>72</v>
      </c>
      <c r="L21" s="72"/>
    </row>
    <row r="22" spans="2:15" x14ac:dyDescent="0.2">
      <c r="D22" s="74"/>
      <c r="E22" s="74"/>
      <c r="F22" s="1">
        <f>IF(E22&gt;$C$6,0,1)</f>
        <v>1</v>
      </c>
      <c r="G22" s="74"/>
      <c r="I22" s="1" t="s">
        <v>24</v>
      </c>
      <c r="L22" s="72">
        <f>-820</f>
        <v>-820</v>
      </c>
    </row>
    <row r="23" spans="2:15" ht="15" x14ac:dyDescent="0.25">
      <c r="D23" s="74"/>
      <c r="E23" s="74"/>
      <c r="F23" s="1">
        <f>IF(E23&gt;$C$6,0,1)</f>
        <v>1</v>
      </c>
      <c r="G23" s="74"/>
      <c r="I23" s="14" t="s">
        <v>25</v>
      </c>
      <c r="J23" s="14"/>
      <c r="K23" s="14"/>
      <c r="L23" s="27">
        <f>SUM(L16:L22)</f>
        <v>43078.729329550006</v>
      </c>
    </row>
    <row r="24" spans="2:15" x14ac:dyDescent="0.2">
      <c r="D24" s="74"/>
      <c r="E24" s="74"/>
      <c r="F24" s="74"/>
      <c r="G24" s="74"/>
    </row>
    <row r="25" spans="2:15" x14ac:dyDescent="0.2">
      <c r="B25" s="13" t="s">
        <v>13</v>
      </c>
      <c r="C25" s="13"/>
      <c r="D25" s="77">
        <f>SUM(D12:D24)</f>
        <v>7.3916590000000006</v>
      </c>
      <c r="E25" s="77"/>
      <c r="F25" s="77"/>
      <c r="G25" s="77">
        <f>SUM(G12:G24)</f>
        <v>541.10707200000002</v>
      </c>
    </row>
    <row r="26" spans="2:15" x14ac:dyDescent="0.2">
      <c r="B26" s="1" t="s">
        <v>14</v>
      </c>
      <c r="D26" s="78">
        <f>SUMPRODUCT(D12:D24,F12:F24)</f>
        <v>7.3916590000000006</v>
      </c>
      <c r="E26" s="74"/>
      <c r="F26" s="74"/>
      <c r="G26" s="74"/>
    </row>
    <row r="27" spans="2:15" x14ac:dyDescent="0.2">
      <c r="D27" s="74"/>
      <c r="E27" s="74"/>
      <c r="F27" s="74"/>
      <c r="G27" s="74"/>
    </row>
    <row r="28" spans="2:15" x14ac:dyDescent="0.2">
      <c r="B28" s="1" t="s">
        <v>15</v>
      </c>
      <c r="D28" s="74"/>
      <c r="E28" s="74"/>
      <c r="F28" s="74"/>
      <c r="G28" s="78">
        <f>G25/C6</f>
        <v>4.4117983856502239</v>
      </c>
    </row>
    <row r="29" spans="2:15" x14ac:dyDescent="0.2">
      <c r="B29" s="1" t="s">
        <v>16</v>
      </c>
      <c r="D29" s="74"/>
      <c r="E29" s="74"/>
      <c r="F29" s="74"/>
      <c r="G29" s="78">
        <f>D26-G28</f>
        <v>2.9798606143497768</v>
      </c>
    </row>
    <row r="30" spans="2:15" ht="15" x14ac:dyDescent="0.25">
      <c r="B30" s="14" t="s">
        <v>17</v>
      </c>
      <c r="C30" s="14"/>
      <c r="D30" s="79"/>
      <c r="E30" s="79"/>
      <c r="F30" s="79"/>
      <c r="G30" s="79">
        <f>C8+G29</f>
        <v>322.8188286143498</v>
      </c>
    </row>
  </sheetData>
  <pageMargins left="0.7" right="0.7" top="0.75" bottom="0.75" header="0.3" footer="0.3"/>
  <pageSetup orientation="portrait" r:id="rId1"/>
  <legacy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1"/>
  </sheetPr>
  <dimension ref="K4"/>
  <sheetViews>
    <sheetView workbookViewId="0"/>
  </sheetViews>
  <sheetFormatPr defaultRowHeight="15" x14ac:dyDescent="0.25"/>
  <sheetData>
    <row r="4" spans="11:11" x14ac:dyDescent="0.25">
      <c r="K4" s="1"/>
    </row>
  </sheetData>
  <pageMargins left="0.7" right="0.7" top="0.75" bottom="0.75" header="0.3" footer="0.3"/>
  <pageSetup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79998168889431442"/>
  </sheetPr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0.79998168889431442"/>
  </sheetPr>
  <dimension ref="A1:D27"/>
  <sheetViews>
    <sheetView workbookViewId="0"/>
  </sheetViews>
  <sheetFormatPr defaultRowHeight="15" x14ac:dyDescent="0.25"/>
  <cols>
    <col min="1" max="1" width="50.7109375" customWidth="1"/>
    <col min="2" max="4" width="15.7109375" customWidth="1"/>
  </cols>
  <sheetData>
    <row r="1" spans="1:4" x14ac:dyDescent="0.25">
      <c r="A1" s="53"/>
      <c r="B1" s="54" t="s">
        <v>204</v>
      </c>
      <c r="C1" s="54"/>
      <c r="D1" s="54"/>
    </row>
    <row r="2" spans="1:4" x14ac:dyDescent="0.25">
      <c r="A2" s="53"/>
      <c r="B2" s="55">
        <v>2021</v>
      </c>
      <c r="C2" s="55">
        <v>2020</v>
      </c>
      <c r="D2" s="55">
        <v>2019</v>
      </c>
    </row>
    <row r="3" spans="1:4" x14ac:dyDescent="0.25">
      <c r="A3" s="56" t="s">
        <v>29</v>
      </c>
      <c r="B3" s="58">
        <v>213212</v>
      </c>
      <c r="C3" s="58">
        <v>175518</v>
      </c>
      <c r="D3" s="58">
        <v>144496</v>
      </c>
    </row>
    <row r="4" spans="1:4" x14ac:dyDescent="0.25">
      <c r="A4" s="56" t="s">
        <v>335</v>
      </c>
      <c r="B4" s="59">
        <v>130567</v>
      </c>
      <c r="C4" s="59">
        <v>108972</v>
      </c>
      <c r="D4" s="59">
        <v>100284</v>
      </c>
    </row>
    <row r="5" spans="1:4" x14ac:dyDescent="0.25">
      <c r="A5" s="56" t="s">
        <v>336</v>
      </c>
      <c r="B5" s="59">
        <v>82645</v>
      </c>
      <c r="C5" s="59">
        <v>66546</v>
      </c>
      <c r="D5" s="59">
        <v>44212</v>
      </c>
    </row>
    <row r="6" spans="1:4" x14ac:dyDescent="0.25">
      <c r="A6" s="56" t="s">
        <v>337</v>
      </c>
      <c r="B6" s="57"/>
      <c r="C6" s="57"/>
      <c r="D6" s="57"/>
    </row>
    <row r="7" spans="1:4" x14ac:dyDescent="0.25">
      <c r="A7" s="53" t="s">
        <v>338</v>
      </c>
      <c r="B7" s="59">
        <v>37893</v>
      </c>
      <c r="C7" s="59">
        <v>21008</v>
      </c>
      <c r="D7" s="59">
        <v>9065</v>
      </c>
    </row>
    <row r="8" spans="1:4" x14ac:dyDescent="0.25">
      <c r="A8" s="53" t="s">
        <v>209</v>
      </c>
      <c r="B8" s="59">
        <v>8520</v>
      </c>
      <c r="C8" s="59">
        <v>8262</v>
      </c>
      <c r="D8" s="59">
        <v>8217</v>
      </c>
    </row>
    <row r="9" spans="1:4" x14ac:dyDescent="0.25">
      <c r="A9" s="56" t="s">
        <v>106</v>
      </c>
      <c r="B9" s="59">
        <v>46413</v>
      </c>
      <c r="C9" s="59">
        <v>29270</v>
      </c>
      <c r="D9" s="59">
        <v>17282</v>
      </c>
    </row>
    <row r="10" spans="1:4" x14ac:dyDescent="0.25">
      <c r="A10" s="56" t="s">
        <v>108</v>
      </c>
      <c r="B10" s="59">
        <v>36232</v>
      </c>
      <c r="C10" s="59">
        <v>37276</v>
      </c>
      <c r="D10" s="59">
        <v>26930</v>
      </c>
    </row>
    <row r="11" spans="1:4" x14ac:dyDescent="0.25">
      <c r="A11" s="53" t="s">
        <v>339</v>
      </c>
      <c r="B11" s="59">
        <v>-14549</v>
      </c>
      <c r="C11" s="59">
        <v>-3510</v>
      </c>
      <c r="D11" s="59">
        <v>-1787</v>
      </c>
    </row>
    <row r="12" spans="1:4" x14ac:dyDescent="0.25">
      <c r="A12" s="53" t="s">
        <v>277</v>
      </c>
      <c r="B12" s="59">
        <v>-1663</v>
      </c>
      <c r="C12" s="59">
        <v>0</v>
      </c>
      <c r="D12" s="59">
        <v>0</v>
      </c>
    </row>
    <row r="13" spans="1:4" x14ac:dyDescent="0.25">
      <c r="A13" s="53" t="s">
        <v>127</v>
      </c>
      <c r="B13" s="59">
        <v>-15990</v>
      </c>
      <c r="C13" s="59">
        <v>0</v>
      </c>
      <c r="D13" s="59">
        <v>0</v>
      </c>
    </row>
    <row r="14" spans="1:4" x14ac:dyDescent="0.25">
      <c r="A14" s="56" t="s">
        <v>356</v>
      </c>
      <c r="B14" s="59">
        <v>4030</v>
      </c>
      <c r="C14" s="59">
        <v>33766</v>
      </c>
      <c r="D14" s="59">
        <v>25143</v>
      </c>
    </row>
    <row r="15" spans="1:4" x14ac:dyDescent="0.25">
      <c r="A15" s="53" t="s">
        <v>373</v>
      </c>
      <c r="B15" s="59">
        <v>-86</v>
      </c>
      <c r="C15" s="59">
        <v>0</v>
      </c>
      <c r="D15" s="59">
        <v>0</v>
      </c>
    </row>
    <row r="16" spans="1:4" x14ac:dyDescent="0.25">
      <c r="A16" s="56" t="s">
        <v>206</v>
      </c>
      <c r="B16" s="59">
        <v>3944</v>
      </c>
      <c r="C16" s="59">
        <v>33766</v>
      </c>
      <c r="D16" s="59">
        <v>25143</v>
      </c>
    </row>
    <row r="17" spans="1:4" x14ac:dyDescent="0.25">
      <c r="A17" s="53" t="s">
        <v>357</v>
      </c>
      <c r="B17" s="59">
        <v>1596</v>
      </c>
      <c r="C17" s="59">
        <v>0</v>
      </c>
      <c r="D17" s="59">
        <v>0</v>
      </c>
    </row>
    <row r="18" spans="1:4" x14ac:dyDescent="0.25">
      <c r="A18" s="56" t="s">
        <v>352</v>
      </c>
      <c r="B18" s="58">
        <v>2348</v>
      </c>
      <c r="C18" s="58">
        <v>33766</v>
      </c>
      <c r="D18" s="58">
        <v>25143</v>
      </c>
    </row>
    <row r="19" spans="1:4" x14ac:dyDescent="0.25">
      <c r="A19" s="53"/>
      <c r="B19" s="55" t="s">
        <v>374</v>
      </c>
      <c r="C19" s="57"/>
      <c r="D19" s="57"/>
    </row>
    <row r="20" spans="1:4" x14ac:dyDescent="0.25">
      <c r="A20" s="56" t="s">
        <v>375</v>
      </c>
      <c r="B20" s="57"/>
      <c r="C20" s="57"/>
      <c r="D20" s="57"/>
    </row>
    <row r="21" spans="1:4" x14ac:dyDescent="0.25">
      <c r="A21" s="53" t="s">
        <v>346</v>
      </c>
      <c r="B21" s="62">
        <v>0</v>
      </c>
      <c r="C21" s="57"/>
      <c r="D21" s="57"/>
    </row>
    <row r="22" spans="1:4" x14ac:dyDescent="0.25">
      <c r="A22" s="53" t="s">
        <v>347</v>
      </c>
      <c r="B22" s="62">
        <v>0</v>
      </c>
      <c r="C22" s="57"/>
      <c r="D22" s="57"/>
    </row>
    <row r="23" spans="1:4" x14ac:dyDescent="0.25">
      <c r="A23" s="56" t="s">
        <v>348</v>
      </c>
      <c r="B23" s="57"/>
      <c r="C23" s="57"/>
      <c r="D23" s="57"/>
    </row>
    <row r="24" spans="1:4" x14ac:dyDescent="0.25">
      <c r="A24" s="53" t="s">
        <v>346</v>
      </c>
      <c r="B24" s="59">
        <v>99269</v>
      </c>
      <c r="C24" s="57"/>
      <c r="D24" s="57"/>
    </row>
    <row r="25" spans="1:4" x14ac:dyDescent="0.25">
      <c r="A25" s="53" t="s">
        <v>347</v>
      </c>
      <c r="B25" s="59">
        <v>99269</v>
      </c>
      <c r="C25" s="57"/>
      <c r="D25" s="57"/>
    </row>
    <row r="27" spans="1:4" x14ac:dyDescent="0.25">
      <c r="A27" s="60" t="s">
        <v>148</v>
      </c>
    </row>
  </sheetData>
  <hyperlinks>
    <hyperlink ref="A27" r:id="rId1" xr:uid="{00000000-0004-0000-0C00-000000000000}"/>
  </hyperlinks>
  <pageMargins left="0.75" right="0.75" top="1" bottom="1" header="0.5" footer="0.5"/>
  <pageSetup orientation="portrait" verticalDpi="0"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79998168889431442"/>
  </sheetPr>
  <dimension ref="A1:C26"/>
  <sheetViews>
    <sheetView workbookViewId="0"/>
  </sheetViews>
  <sheetFormatPr defaultRowHeight="15" x14ac:dyDescent="0.25"/>
  <cols>
    <col min="1" max="1" width="50.7109375" customWidth="1"/>
    <col min="2" max="3" width="15.7109375" customWidth="1"/>
  </cols>
  <sheetData>
    <row r="1" spans="1:3" x14ac:dyDescent="0.25">
      <c r="A1" s="53"/>
      <c r="B1" s="54" t="s">
        <v>237</v>
      </c>
      <c r="C1" s="54"/>
    </row>
    <row r="2" spans="1:3" x14ac:dyDescent="0.25">
      <c r="A2" s="53"/>
      <c r="B2" s="55">
        <v>2021</v>
      </c>
      <c r="C2" s="55">
        <v>2020</v>
      </c>
    </row>
    <row r="3" spans="1:3" x14ac:dyDescent="0.25">
      <c r="A3" s="56" t="s">
        <v>29</v>
      </c>
      <c r="B3" s="58">
        <v>45604</v>
      </c>
      <c r="C3" s="58">
        <v>40740</v>
      </c>
    </row>
    <row r="4" spans="1:3" x14ac:dyDescent="0.25">
      <c r="A4" s="56" t="s">
        <v>335</v>
      </c>
      <c r="B4" s="59">
        <v>26830</v>
      </c>
      <c r="C4" s="59">
        <v>26554</v>
      </c>
    </row>
    <row r="5" spans="1:3" x14ac:dyDescent="0.25">
      <c r="A5" s="56" t="s">
        <v>336</v>
      </c>
      <c r="B5" s="59">
        <v>18774</v>
      </c>
      <c r="C5" s="59">
        <v>14186</v>
      </c>
    </row>
    <row r="6" spans="1:3" x14ac:dyDescent="0.25">
      <c r="A6" s="56" t="s">
        <v>337</v>
      </c>
      <c r="B6" s="57"/>
      <c r="C6" s="57"/>
    </row>
    <row r="7" spans="1:3" x14ac:dyDescent="0.25">
      <c r="A7" s="53" t="s">
        <v>338</v>
      </c>
      <c r="B7" s="59">
        <v>6816</v>
      </c>
      <c r="C7" s="59">
        <v>2558</v>
      </c>
    </row>
    <row r="8" spans="1:3" x14ac:dyDescent="0.25">
      <c r="A8" s="53" t="s">
        <v>209</v>
      </c>
      <c r="B8" s="59">
        <v>2068</v>
      </c>
      <c r="C8" s="59">
        <v>2061</v>
      </c>
    </row>
    <row r="9" spans="1:3" x14ac:dyDescent="0.25">
      <c r="A9" s="56" t="s">
        <v>106</v>
      </c>
      <c r="B9" s="59">
        <v>8884</v>
      </c>
      <c r="C9" s="59">
        <v>4619</v>
      </c>
    </row>
    <row r="10" spans="1:3" x14ac:dyDescent="0.25">
      <c r="A10" s="56" t="s">
        <v>108</v>
      </c>
      <c r="B10" s="59">
        <v>9890</v>
      </c>
      <c r="C10" s="59">
        <v>9567</v>
      </c>
    </row>
    <row r="11" spans="1:3" x14ac:dyDescent="0.25">
      <c r="A11" s="53" t="s">
        <v>339</v>
      </c>
      <c r="B11" s="59">
        <v>-3709</v>
      </c>
      <c r="C11" s="59">
        <v>-272</v>
      </c>
    </row>
    <row r="12" spans="1:3" x14ac:dyDescent="0.25">
      <c r="A12" s="53" t="s">
        <v>127</v>
      </c>
      <c r="B12" s="59">
        <v>-15990</v>
      </c>
      <c r="C12" s="59">
        <v>0</v>
      </c>
    </row>
    <row r="13" spans="1:3" x14ac:dyDescent="0.25">
      <c r="A13" s="56" t="s">
        <v>340</v>
      </c>
      <c r="B13" s="59">
        <v>-9809</v>
      </c>
      <c r="C13" s="59">
        <v>9295</v>
      </c>
    </row>
    <row r="14" spans="1:3" x14ac:dyDescent="0.25">
      <c r="A14" s="53" t="s">
        <v>341</v>
      </c>
      <c r="B14" s="59">
        <v>1475</v>
      </c>
      <c r="C14" s="59">
        <v>0</v>
      </c>
    </row>
    <row r="15" spans="1:3" x14ac:dyDescent="0.25">
      <c r="A15" s="56" t="s">
        <v>238</v>
      </c>
      <c r="B15" s="59">
        <v>-8334</v>
      </c>
      <c r="C15" s="59">
        <v>9295</v>
      </c>
    </row>
    <row r="16" spans="1:3" x14ac:dyDescent="0.25">
      <c r="A16" s="53" t="s">
        <v>342</v>
      </c>
      <c r="B16" s="59">
        <v>-5475</v>
      </c>
      <c r="C16" s="59">
        <v>0</v>
      </c>
    </row>
    <row r="17" spans="1:3" x14ac:dyDescent="0.25">
      <c r="A17" s="56" t="s">
        <v>343</v>
      </c>
      <c r="B17" s="58">
        <v>-2859</v>
      </c>
      <c r="C17" s="58">
        <v>9295</v>
      </c>
    </row>
    <row r="18" spans="1:3" x14ac:dyDescent="0.25">
      <c r="A18" s="53"/>
      <c r="B18" s="55" t="s">
        <v>344</v>
      </c>
      <c r="C18" s="57"/>
    </row>
    <row r="19" spans="1:3" x14ac:dyDescent="0.25">
      <c r="A19" s="56" t="s">
        <v>345</v>
      </c>
      <c r="B19" s="57"/>
      <c r="C19" s="57"/>
    </row>
    <row r="20" spans="1:3" x14ac:dyDescent="0.25">
      <c r="A20" s="53" t="s">
        <v>346</v>
      </c>
      <c r="B20" s="62">
        <v>-0.06</v>
      </c>
      <c r="C20" s="57"/>
    </row>
    <row r="21" spans="1:3" x14ac:dyDescent="0.25">
      <c r="A21" s="53" t="s">
        <v>347</v>
      </c>
      <c r="B21" s="62">
        <v>-0.06</v>
      </c>
      <c r="C21" s="57"/>
    </row>
    <row r="22" spans="1:3" x14ac:dyDescent="0.25">
      <c r="A22" s="56" t="s">
        <v>348</v>
      </c>
      <c r="B22" s="57"/>
      <c r="C22" s="57"/>
    </row>
    <row r="23" spans="1:3" x14ac:dyDescent="0.25">
      <c r="A23" s="53" t="s">
        <v>346</v>
      </c>
      <c r="B23" s="59">
        <v>93540</v>
      </c>
      <c r="C23" s="57"/>
    </row>
    <row r="24" spans="1:3" x14ac:dyDescent="0.25">
      <c r="A24" s="53" t="s">
        <v>347</v>
      </c>
      <c r="B24" s="59">
        <v>93540</v>
      </c>
      <c r="C24" s="57"/>
    </row>
    <row r="26" spans="1:3" x14ac:dyDescent="0.25">
      <c r="A26" s="60" t="s">
        <v>148</v>
      </c>
    </row>
  </sheetData>
  <hyperlinks>
    <hyperlink ref="A26" r:id="rId1" xr:uid="{00000000-0004-0000-0D00-000000000000}"/>
  </hyperlinks>
  <pageMargins left="0.75" right="0.75" top="1" bottom="1" header="0.5" footer="0.5"/>
  <pageSetup orientation="portrait" verticalDpi="0"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79998168889431442"/>
  </sheetPr>
  <dimension ref="A1:E27"/>
  <sheetViews>
    <sheetView workbookViewId="0"/>
  </sheetViews>
  <sheetFormatPr defaultRowHeight="15" x14ac:dyDescent="0.25"/>
  <cols>
    <col min="1" max="1" width="50.7109375" customWidth="1"/>
    <col min="2" max="5" width="15.7109375" customWidth="1"/>
  </cols>
  <sheetData>
    <row r="1" spans="1:5" x14ac:dyDescent="0.25">
      <c r="A1" s="53"/>
      <c r="B1" s="54" t="s">
        <v>350</v>
      </c>
      <c r="C1" s="54"/>
      <c r="D1" s="54" t="s">
        <v>252</v>
      </c>
      <c r="E1" s="54"/>
    </row>
    <row r="2" spans="1:5" x14ac:dyDescent="0.25">
      <c r="A2" s="53"/>
      <c r="B2" s="55">
        <v>2021</v>
      </c>
      <c r="C2" s="55">
        <v>2020</v>
      </c>
      <c r="D2" s="55">
        <v>2021</v>
      </c>
      <c r="E2" s="55">
        <v>2020</v>
      </c>
    </row>
    <row r="3" spans="1:5" x14ac:dyDescent="0.25">
      <c r="A3" s="56" t="s">
        <v>29</v>
      </c>
      <c r="B3" s="58">
        <v>59722</v>
      </c>
      <c r="C3" s="58">
        <v>43427</v>
      </c>
      <c r="D3" s="58">
        <v>105326</v>
      </c>
      <c r="E3" s="58">
        <v>84167</v>
      </c>
    </row>
    <row r="4" spans="1:5" x14ac:dyDescent="0.25">
      <c r="A4" s="56" t="s">
        <v>335</v>
      </c>
      <c r="B4" s="59">
        <v>33543</v>
      </c>
      <c r="C4" s="59">
        <v>26598</v>
      </c>
      <c r="D4" s="59">
        <v>60373</v>
      </c>
      <c r="E4" s="59">
        <v>53152</v>
      </c>
    </row>
    <row r="5" spans="1:5" x14ac:dyDescent="0.25">
      <c r="A5" s="56" t="s">
        <v>336</v>
      </c>
      <c r="B5" s="59">
        <v>26179</v>
      </c>
      <c r="C5" s="59">
        <v>16829</v>
      </c>
      <c r="D5" s="59">
        <v>44953</v>
      </c>
      <c r="E5" s="59">
        <v>31015</v>
      </c>
    </row>
    <row r="6" spans="1:5" x14ac:dyDescent="0.25">
      <c r="A6" s="56" t="s">
        <v>337</v>
      </c>
      <c r="B6" s="57"/>
      <c r="C6" s="57"/>
      <c r="D6" s="57"/>
      <c r="E6" s="57"/>
    </row>
    <row r="7" spans="1:5" x14ac:dyDescent="0.25">
      <c r="A7" s="53" t="s">
        <v>338</v>
      </c>
      <c r="B7" s="59">
        <v>10018</v>
      </c>
      <c r="C7" s="59">
        <v>9317</v>
      </c>
      <c r="D7" s="59">
        <v>16834</v>
      </c>
      <c r="E7" s="59">
        <v>11875</v>
      </c>
    </row>
    <row r="8" spans="1:5" x14ac:dyDescent="0.25">
      <c r="A8" s="53" t="s">
        <v>209</v>
      </c>
      <c r="B8" s="59">
        <v>2062</v>
      </c>
      <c r="C8" s="59">
        <v>2064</v>
      </c>
      <c r="D8" s="59">
        <v>4130</v>
      </c>
      <c r="E8" s="59">
        <v>4125</v>
      </c>
    </row>
    <row r="9" spans="1:5" x14ac:dyDescent="0.25">
      <c r="A9" s="56" t="s">
        <v>106</v>
      </c>
      <c r="B9" s="59">
        <v>12080</v>
      </c>
      <c r="C9" s="59">
        <v>11381</v>
      </c>
      <c r="D9" s="59">
        <v>20964</v>
      </c>
      <c r="E9" s="59">
        <v>16000</v>
      </c>
    </row>
    <row r="10" spans="1:5" x14ac:dyDescent="0.25">
      <c r="A10" s="56" t="s">
        <v>108</v>
      </c>
      <c r="B10" s="59">
        <v>14099</v>
      </c>
      <c r="C10" s="59">
        <v>5448</v>
      </c>
      <c r="D10" s="59">
        <v>23989</v>
      </c>
      <c r="E10" s="59">
        <v>15015</v>
      </c>
    </row>
    <row r="11" spans="1:5" x14ac:dyDescent="0.25">
      <c r="A11" s="53" t="s">
        <v>339</v>
      </c>
      <c r="B11" s="59">
        <v>-3620</v>
      </c>
      <c r="C11" s="59">
        <v>-225</v>
      </c>
      <c r="D11" s="59">
        <v>-7329</v>
      </c>
      <c r="E11" s="59">
        <v>-497</v>
      </c>
    </row>
    <row r="12" spans="1:5" x14ac:dyDescent="0.25">
      <c r="A12" s="53" t="s">
        <v>254</v>
      </c>
      <c r="B12" s="59">
        <v>-1664</v>
      </c>
      <c r="C12" s="59">
        <v>0</v>
      </c>
      <c r="D12" s="59">
        <v>-1664</v>
      </c>
      <c r="E12" s="59">
        <v>0</v>
      </c>
    </row>
    <row r="13" spans="1:5" x14ac:dyDescent="0.25">
      <c r="A13" s="53" t="s">
        <v>127</v>
      </c>
      <c r="B13" s="59">
        <v>0</v>
      </c>
      <c r="C13" s="59">
        <v>0</v>
      </c>
      <c r="D13" s="59">
        <v>-15990</v>
      </c>
      <c r="E13" s="59">
        <v>0</v>
      </c>
    </row>
    <row r="14" spans="1:5" x14ac:dyDescent="0.25">
      <c r="A14" s="56" t="s">
        <v>340</v>
      </c>
      <c r="B14" s="59">
        <v>8815</v>
      </c>
      <c r="C14" s="59">
        <v>5223</v>
      </c>
      <c r="D14" s="59">
        <v>-994</v>
      </c>
      <c r="E14" s="59">
        <v>14518</v>
      </c>
    </row>
    <row r="15" spans="1:5" x14ac:dyDescent="0.25">
      <c r="A15" s="53" t="s">
        <v>341</v>
      </c>
      <c r="B15" s="59">
        <v>339</v>
      </c>
      <c r="C15" s="59">
        <v>0</v>
      </c>
      <c r="D15" s="59">
        <v>1814</v>
      </c>
      <c r="E15" s="59">
        <v>0</v>
      </c>
    </row>
    <row r="16" spans="1:5" x14ac:dyDescent="0.25">
      <c r="A16" s="56" t="s">
        <v>206</v>
      </c>
      <c r="B16" s="59">
        <v>9154</v>
      </c>
      <c r="C16" s="59">
        <v>5223</v>
      </c>
      <c r="D16" s="59">
        <v>820</v>
      </c>
      <c r="E16" s="59">
        <v>14518</v>
      </c>
    </row>
    <row r="17" spans="1:5" x14ac:dyDescent="0.25">
      <c r="A17" s="53" t="s">
        <v>351</v>
      </c>
      <c r="B17" s="59">
        <v>4596</v>
      </c>
      <c r="C17" s="59">
        <v>0</v>
      </c>
      <c r="D17" s="59">
        <v>-879</v>
      </c>
      <c r="E17" s="59">
        <v>0</v>
      </c>
    </row>
    <row r="18" spans="1:5" x14ac:dyDescent="0.25">
      <c r="A18" s="56" t="s">
        <v>352</v>
      </c>
      <c r="B18" s="58">
        <v>4558</v>
      </c>
      <c r="C18" s="58">
        <v>5223</v>
      </c>
      <c r="D18" s="58">
        <v>1699</v>
      </c>
      <c r="E18" s="58">
        <v>14518</v>
      </c>
    </row>
    <row r="19" spans="1:5" x14ac:dyDescent="0.25">
      <c r="A19" s="53"/>
      <c r="B19" s="55" t="s">
        <v>353</v>
      </c>
      <c r="C19" s="57"/>
      <c r="D19" s="55" t="s">
        <v>354</v>
      </c>
      <c r="E19" s="57"/>
    </row>
    <row r="20" spans="1:5" x14ac:dyDescent="0.25">
      <c r="A20" s="56" t="s">
        <v>345</v>
      </c>
      <c r="B20" s="57"/>
      <c r="C20" s="57"/>
      <c r="D20" s="57"/>
      <c r="E20" s="57"/>
    </row>
    <row r="21" spans="1:5" x14ac:dyDescent="0.25">
      <c r="A21" s="53" t="s">
        <v>346</v>
      </c>
      <c r="B21" s="62">
        <v>0.05</v>
      </c>
      <c r="C21" s="57"/>
      <c r="D21" s="62">
        <v>-0.01</v>
      </c>
      <c r="E21" s="57"/>
    </row>
    <row r="22" spans="1:5" x14ac:dyDescent="0.25">
      <c r="A22" s="53" t="s">
        <v>347</v>
      </c>
      <c r="B22" s="62">
        <v>0.05</v>
      </c>
      <c r="C22" s="57"/>
      <c r="D22" s="62">
        <v>-0.01</v>
      </c>
      <c r="E22" s="57"/>
    </row>
    <row r="23" spans="1:5" x14ac:dyDescent="0.25">
      <c r="A23" s="56" t="s">
        <v>348</v>
      </c>
      <c r="B23" s="57"/>
      <c r="C23" s="57"/>
      <c r="D23" s="57"/>
      <c r="E23" s="57"/>
    </row>
    <row r="24" spans="1:5" x14ac:dyDescent="0.25">
      <c r="A24" s="53" t="s">
        <v>346</v>
      </c>
      <c r="B24" s="59">
        <v>93544</v>
      </c>
      <c r="C24" s="57"/>
      <c r="D24" s="59">
        <v>93542</v>
      </c>
      <c r="E24" s="57"/>
    </row>
    <row r="25" spans="1:5" x14ac:dyDescent="0.25">
      <c r="A25" s="53" t="s">
        <v>347</v>
      </c>
      <c r="B25" s="59">
        <v>166827</v>
      </c>
      <c r="C25" s="57"/>
      <c r="D25" s="59">
        <v>93542</v>
      </c>
      <c r="E25" s="57"/>
    </row>
    <row r="27" spans="1:5" x14ac:dyDescent="0.25">
      <c r="A27" s="60" t="s">
        <v>148</v>
      </c>
    </row>
  </sheetData>
  <hyperlinks>
    <hyperlink ref="A27" r:id="rId1" xr:uid="{00000000-0004-0000-0E00-000000000000}"/>
  </hyperlinks>
  <pageMargins left="0.75" right="0.75" top="1" bottom="1" header="0.5" footer="0.5"/>
  <pageSetup orientation="portrait" verticalDpi="0"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79998168889431442"/>
  </sheetPr>
  <dimension ref="A1:E27"/>
  <sheetViews>
    <sheetView workbookViewId="0"/>
  </sheetViews>
  <sheetFormatPr defaultRowHeight="15" x14ac:dyDescent="0.25"/>
  <cols>
    <col min="1" max="1" width="50.7109375" customWidth="1"/>
    <col min="2" max="5" width="15.7109375" customWidth="1"/>
  </cols>
  <sheetData>
    <row r="1" spans="1:5" x14ac:dyDescent="0.25">
      <c r="A1" s="53"/>
      <c r="B1" s="54" t="s">
        <v>355</v>
      </c>
      <c r="C1" s="54"/>
      <c r="D1" s="54" t="s">
        <v>259</v>
      </c>
      <c r="E1" s="54"/>
    </row>
    <row r="2" spans="1:5" x14ac:dyDescent="0.25">
      <c r="A2" s="53"/>
      <c r="B2" s="55">
        <v>2021</v>
      </c>
      <c r="C2" s="55">
        <v>2020</v>
      </c>
      <c r="D2" s="55">
        <v>2021</v>
      </c>
      <c r="E2" s="55">
        <v>2020</v>
      </c>
    </row>
    <row r="3" spans="1:5" x14ac:dyDescent="0.25">
      <c r="A3" s="56" t="s">
        <v>29</v>
      </c>
      <c r="B3" s="58">
        <v>59840</v>
      </c>
      <c r="C3" s="58">
        <v>52598</v>
      </c>
      <c r="D3" s="58">
        <v>165166</v>
      </c>
      <c r="E3" s="58">
        <v>136765</v>
      </c>
    </row>
    <row r="4" spans="1:5" x14ac:dyDescent="0.25">
      <c r="A4" s="56" t="s">
        <v>335</v>
      </c>
      <c r="B4" s="59">
        <v>38071</v>
      </c>
      <c r="C4" s="59">
        <v>31909</v>
      </c>
      <c r="D4" s="59">
        <v>98444</v>
      </c>
      <c r="E4" s="59">
        <v>85061</v>
      </c>
    </row>
    <row r="5" spans="1:5" x14ac:dyDescent="0.25">
      <c r="A5" s="56" t="s">
        <v>336</v>
      </c>
      <c r="B5" s="59">
        <v>21769</v>
      </c>
      <c r="C5" s="59">
        <v>20689</v>
      </c>
      <c r="D5" s="59">
        <v>66722</v>
      </c>
      <c r="E5" s="59">
        <v>51704</v>
      </c>
    </row>
    <row r="6" spans="1:5" x14ac:dyDescent="0.25">
      <c r="A6" s="56" t="s">
        <v>337</v>
      </c>
      <c r="B6" s="57"/>
      <c r="C6" s="57"/>
      <c r="D6" s="57"/>
      <c r="E6" s="57"/>
    </row>
    <row r="7" spans="1:5" x14ac:dyDescent="0.25">
      <c r="A7" s="53" t="s">
        <v>338</v>
      </c>
      <c r="B7" s="59">
        <v>10031</v>
      </c>
      <c r="C7" s="59">
        <v>3515</v>
      </c>
      <c r="D7" s="59">
        <v>26865</v>
      </c>
      <c r="E7" s="59">
        <v>15390</v>
      </c>
    </row>
    <row r="8" spans="1:5" x14ac:dyDescent="0.25">
      <c r="A8" s="53" t="s">
        <v>209</v>
      </c>
      <c r="B8" s="59">
        <v>2175</v>
      </c>
      <c r="C8" s="59">
        <v>2069</v>
      </c>
      <c r="D8" s="59">
        <v>6305</v>
      </c>
      <c r="E8" s="59">
        <v>6194</v>
      </c>
    </row>
    <row r="9" spans="1:5" x14ac:dyDescent="0.25">
      <c r="A9" s="56" t="s">
        <v>106</v>
      </c>
      <c r="B9" s="59">
        <v>12206</v>
      </c>
      <c r="C9" s="59">
        <v>5584</v>
      </c>
      <c r="D9" s="59">
        <v>33170</v>
      </c>
      <c r="E9" s="59">
        <v>21584</v>
      </c>
    </row>
    <row r="10" spans="1:5" x14ac:dyDescent="0.25">
      <c r="A10" s="56" t="s">
        <v>108</v>
      </c>
      <c r="B10" s="59">
        <v>9563</v>
      </c>
      <c r="C10" s="59">
        <v>15105</v>
      </c>
      <c r="D10" s="59">
        <v>33552</v>
      </c>
      <c r="E10" s="59">
        <v>30120</v>
      </c>
    </row>
    <row r="11" spans="1:5" x14ac:dyDescent="0.25">
      <c r="A11" s="53" t="s">
        <v>339</v>
      </c>
      <c r="B11" s="59">
        <v>-3582</v>
      </c>
      <c r="C11" s="59">
        <v>-104</v>
      </c>
      <c r="D11" s="59">
        <v>-10911</v>
      </c>
      <c r="E11" s="59">
        <v>-601</v>
      </c>
    </row>
    <row r="12" spans="1:5" x14ac:dyDescent="0.25">
      <c r="A12" s="53" t="s">
        <v>254</v>
      </c>
      <c r="B12" s="59">
        <v>-2014</v>
      </c>
      <c r="C12" s="59">
        <v>0</v>
      </c>
      <c r="D12" s="59">
        <v>-3678</v>
      </c>
      <c r="E12" s="59">
        <v>0</v>
      </c>
    </row>
    <row r="13" spans="1:5" x14ac:dyDescent="0.25">
      <c r="A13" s="53" t="s">
        <v>127</v>
      </c>
      <c r="B13" s="59">
        <v>0</v>
      </c>
      <c r="C13" s="59">
        <v>0</v>
      </c>
      <c r="D13" s="59">
        <v>-15990</v>
      </c>
      <c r="E13" s="59">
        <v>0</v>
      </c>
    </row>
    <row r="14" spans="1:5" x14ac:dyDescent="0.25">
      <c r="A14" s="56" t="s">
        <v>356</v>
      </c>
      <c r="B14" s="59">
        <v>3967</v>
      </c>
      <c r="C14" s="59">
        <v>15001</v>
      </c>
      <c r="D14" s="59">
        <v>2973</v>
      </c>
      <c r="E14" s="59">
        <v>29519</v>
      </c>
    </row>
    <row r="15" spans="1:5" x14ac:dyDescent="0.25">
      <c r="A15" s="53" t="s">
        <v>341</v>
      </c>
      <c r="B15" s="59">
        <v>1309</v>
      </c>
      <c r="C15" s="59">
        <v>0</v>
      </c>
      <c r="D15" s="59">
        <v>3123</v>
      </c>
      <c r="E15" s="59">
        <v>0</v>
      </c>
    </row>
    <row r="16" spans="1:5" x14ac:dyDescent="0.25">
      <c r="A16" s="56" t="s">
        <v>206</v>
      </c>
      <c r="B16" s="59">
        <v>5276</v>
      </c>
      <c r="C16" s="59">
        <v>15001</v>
      </c>
      <c r="D16" s="59">
        <v>6096</v>
      </c>
      <c r="E16" s="59">
        <v>29519</v>
      </c>
    </row>
    <row r="17" spans="1:5" x14ac:dyDescent="0.25">
      <c r="A17" s="53" t="s">
        <v>357</v>
      </c>
      <c r="B17" s="59">
        <v>2790</v>
      </c>
      <c r="C17" s="59">
        <v>0</v>
      </c>
      <c r="D17" s="59">
        <v>1911</v>
      </c>
      <c r="E17" s="59">
        <v>0</v>
      </c>
    </row>
    <row r="18" spans="1:5" x14ac:dyDescent="0.25">
      <c r="A18" s="56" t="s">
        <v>352</v>
      </c>
      <c r="B18" s="58">
        <v>2486</v>
      </c>
      <c r="C18" s="58">
        <v>15001</v>
      </c>
      <c r="D18" s="58">
        <v>4185</v>
      </c>
      <c r="E18" s="58">
        <v>29519</v>
      </c>
    </row>
    <row r="19" spans="1:5" x14ac:dyDescent="0.25">
      <c r="A19" s="53"/>
      <c r="B19" s="55" t="s">
        <v>358</v>
      </c>
      <c r="C19" s="57"/>
      <c r="D19" s="55" t="s">
        <v>359</v>
      </c>
      <c r="E19" s="57"/>
    </row>
    <row r="20" spans="1:5" x14ac:dyDescent="0.25">
      <c r="A20" s="56" t="s">
        <v>345</v>
      </c>
      <c r="B20" s="57"/>
      <c r="C20" s="57"/>
      <c r="D20" s="57"/>
      <c r="E20" s="57"/>
    </row>
    <row r="21" spans="1:5" x14ac:dyDescent="0.25">
      <c r="A21" s="53" t="s">
        <v>346</v>
      </c>
      <c r="B21" s="62">
        <v>0.02</v>
      </c>
      <c r="C21" s="57"/>
      <c r="D21" s="62">
        <v>0.02</v>
      </c>
      <c r="E21" s="57"/>
    </row>
    <row r="22" spans="1:5" x14ac:dyDescent="0.25">
      <c r="A22" s="53" t="s">
        <v>347</v>
      </c>
      <c r="B22" s="62">
        <v>0.02</v>
      </c>
      <c r="C22" s="57"/>
      <c r="D22" s="62">
        <v>0.02</v>
      </c>
      <c r="E22" s="57"/>
    </row>
    <row r="23" spans="1:5" x14ac:dyDescent="0.25">
      <c r="A23" s="56" t="s">
        <v>348</v>
      </c>
      <c r="B23" s="57"/>
      <c r="C23" s="57"/>
      <c r="D23" s="57"/>
      <c r="E23" s="57"/>
    </row>
    <row r="24" spans="1:5" x14ac:dyDescent="0.25">
      <c r="A24" s="53" t="s">
        <v>346</v>
      </c>
      <c r="B24" s="59">
        <v>101890</v>
      </c>
      <c r="C24" s="57"/>
      <c r="D24" s="59">
        <v>96354</v>
      </c>
      <c r="E24" s="57"/>
    </row>
    <row r="25" spans="1:5" x14ac:dyDescent="0.25">
      <c r="A25" s="53" t="s">
        <v>347</v>
      </c>
      <c r="B25" s="59">
        <v>102251</v>
      </c>
      <c r="C25" s="57"/>
      <c r="D25" s="59">
        <v>96527</v>
      </c>
      <c r="E25" s="57"/>
    </row>
    <row r="27" spans="1:5" x14ac:dyDescent="0.25">
      <c r="A27" s="60" t="s">
        <v>148</v>
      </c>
    </row>
  </sheetData>
  <hyperlinks>
    <hyperlink ref="A27" r:id="rId1" xr:uid="{00000000-0004-0000-0F00-000000000000}"/>
  </hyperlinks>
  <pageMargins left="0.75" right="0.75" top="1" bottom="1" header="0.5" footer="0.5"/>
  <pageSetup orientation="portrait" verticalDpi="0"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0.79998168889431442"/>
  </sheetPr>
  <dimension ref="A1:C26"/>
  <sheetViews>
    <sheetView workbookViewId="0"/>
  </sheetViews>
  <sheetFormatPr defaultRowHeight="15" x14ac:dyDescent="0.25"/>
  <cols>
    <col min="1" max="1" width="50.7109375" customWidth="1"/>
    <col min="2" max="3" width="15.7109375" customWidth="1"/>
  </cols>
  <sheetData>
    <row r="1" spans="1:3" x14ac:dyDescent="0.25">
      <c r="A1" s="53"/>
      <c r="B1" s="54" t="s">
        <v>237</v>
      </c>
      <c r="C1" s="54"/>
    </row>
    <row r="2" spans="1:3" x14ac:dyDescent="0.25">
      <c r="A2" s="53"/>
      <c r="B2" s="55">
        <v>2022</v>
      </c>
      <c r="C2" s="55">
        <v>2021</v>
      </c>
    </row>
    <row r="3" spans="1:3" x14ac:dyDescent="0.25">
      <c r="A3" s="56" t="s">
        <v>29</v>
      </c>
      <c r="B3" s="58">
        <v>67976</v>
      </c>
      <c r="C3" s="58">
        <v>45604</v>
      </c>
    </row>
    <row r="4" spans="1:3" x14ac:dyDescent="0.25">
      <c r="A4" s="56" t="s">
        <v>335</v>
      </c>
      <c r="B4" s="59">
        <v>41684</v>
      </c>
      <c r="C4" s="59">
        <v>26830</v>
      </c>
    </row>
    <row r="5" spans="1:3" x14ac:dyDescent="0.25">
      <c r="A5" s="56" t="s">
        <v>336</v>
      </c>
      <c r="B5" s="59">
        <v>26292</v>
      </c>
      <c r="C5" s="59">
        <v>18774</v>
      </c>
    </row>
    <row r="6" spans="1:3" x14ac:dyDescent="0.25">
      <c r="A6" s="56" t="s">
        <v>337</v>
      </c>
      <c r="B6" s="57"/>
      <c r="C6" s="57"/>
    </row>
    <row r="7" spans="1:3" x14ac:dyDescent="0.25">
      <c r="A7" s="53" t="s">
        <v>338</v>
      </c>
      <c r="B7" s="59">
        <v>13919</v>
      </c>
      <c r="C7" s="59">
        <v>6816</v>
      </c>
    </row>
    <row r="8" spans="1:3" x14ac:dyDescent="0.25">
      <c r="A8" s="53" t="s">
        <v>209</v>
      </c>
      <c r="B8" s="59">
        <v>2366</v>
      </c>
      <c r="C8" s="59">
        <v>2068</v>
      </c>
    </row>
    <row r="9" spans="1:3" x14ac:dyDescent="0.25">
      <c r="A9" s="56" t="s">
        <v>106</v>
      </c>
      <c r="B9" s="59">
        <v>16285</v>
      </c>
      <c r="C9" s="59">
        <v>8884</v>
      </c>
    </row>
    <row r="10" spans="1:3" x14ac:dyDescent="0.25">
      <c r="A10" s="56" t="s">
        <v>108</v>
      </c>
      <c r="B10" s="59">
        <v>10007</v>
      </c>
      <c r="C10" s="59">
        <v>9890</v>
      </c>
    </row>
    <row r="11" spans="1:3" x14ac:dyDescent="0.25">
      <c r="A11" s="53" t="s">
        <v>339</v>
      </c>
      <c r="B11" s="59">
        <v>-3836</v>
      </c>
      <c r="C11" s="59">
        <v>-3709</v>
      </c>
    </row>
    <row r="12" spans="1:3" x14ac:dyDescent="0.25">
      <c r="A12" s="53" t="s">
        <v>127</v>
      </c>
      <c r="B12" s="59">
        <v>0</v>
      </c>
      <c r="C12" s="59">
        <v>-15990</v>
      </c>
    </row>
    <row r="13" spans="1:3" x14ac:dyDescent="0.25">
      <c r="A13" s="56" t="s">
        <v>340</v>
      </c>
      <c r="B13" s="59">
        <v>6171</v>
      </c>
      <c r="C13" s="59">
        <v>-9809</v>
      </c>
    </row>
    <row r="14" spans="1:3" x14ac:dyDescent="0.25">
      <c r="A14" s="53" t="s">
        <v>360</v>
      </c>
      <c r="B14" s="59">
        <v>-1522</v>
      </c>
      <c r="C14" s="59">
        <v>1475</v>
      </c>
    </row>
    <row r="15" spans="1:3" x14ac:dyDescent="0.25">
      <c r="A15" s="56" t="s">
        <v>238</v>
      </c>
      <c r="B15" s="59">
        <v>4649</v>
      </c>
      <c r="C15" s="59">
        <v>-8334</v>
      </c>
    </row>
    <row r="16" spans="1:3" x14ac:dyDescent="0.25">
      <c r="A16" s="53" t="s">
        <v>351</v>
      </c>
      <c r="B16" s="59">
        <v>2009</v>
      </c>
      <c r="C16" s="59">
        <v>-5475</v>
      </c>
    </row>
    <row r="17" spans="1:3" x14ac:dyDescent="0.25">
      <c r="A17" s="56" t="s">
        <v>343</v>
      </c>
      <c r="B17" s="58">
        <v>2640</v>
      </c>
      <c r="C17" s="58">
        <v>-2859</v>
      </c>
    </row>
    <row r="18" spans="1:3" x14ac:dyDescent="0.25">
      <c r="A18" s="53"/>
      <c r="B18" s="55" t="s">
        <v>361</v>
      </c>
      <c r="C18" s="55" t="s">
        <v>344</v>
      </c>
    </row>
    <row r="19" spans="1:3" x14ac:dyDescent="0.25">
      <c r="A19" s="56" t="s">
        <v>362</v>
      </c>
      <c r="B19" s="57"/>
      <c r="C19" s="57"/>
    </row>
    <row r="20" spans="1:3" x14ac:dyDescent="0.25">
      <c r="A20" s="53" t="s">
        <v>346</v>
      </c>
      <c r="B20" s="62">
        <v>0.02</v>
      </c>
      <c r="C20" s="62">
        <v>-0.06</v>
      </c>
    </row>
    <row r="21" spans="1:3" x14ac:dyDescent="0.25">
      <c r="A21" s="53" t="s">
        <v>347</v>
      </c>
      <c r="B21" s="62">
        <v>0.02</v>
      </c>
      <c r="C21" s="62">
        <v>-0.06</v>
      </c>
    </row>
    <row r="22" spans="1:3" x14ac:dyDescent="0.25">
      <c r="A22" s="56" t="s">
        <v>348</v>
      </c>
      <c r="B22" s="57"/>
      <c r="C22" s="57"/>
    </row>
    <row r="23" spans="1:3" x14ac:dyDescent="0.25">
      <c r="A23" s="53" t="s">
        <v>346</v>
      </c>
      <c r="B23" s="59">
        <v>112211</v>
      </c>
      <c r="C23" s="59">
        <v>93540</v>
      </c>
    </row>
    <row r="24" spans="1:3" x14ac:dyDescent="0.25">
      <c r="A24" s="53" t="s">
        <v>347</v>
      </c>
      <c r="B24" s="59">
        <v>112240</v>
      </c>
      <c r="C24" s="59">
        <v>93540</v>
      </c>
    </row>
    <row r="26" spans="1:3" x14ac:dyDescent="0.25">
      <c r="A26" s="60" t="s">
        <v>148</v>
      </c>
    </row>
  </sheetData>
  <hyperlinks>
    <hyperlink ref="A26" r:id="rId1" xr:uid="{00000000-0004-0000-1000-000000000000}"/>
  </hyperlinks>
  <pageMargins left="0.75" right="0.75" top="1" bottom="1" header="0.5" footer="0.5"/>
  <pageSetup orientation="portrait" verticalDpi="0"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0.79998168889431442"/>
  </sheetPr>
  <dimension ref="A1:E28"/>
  <sheetViews>
    <sheetView workbookViewId="0"/>
  </sheetViews>
  <sheetFormatPr defaultRowHeight="15" x14ac:dyDescent="0.25"/>
  <cols>
    <col min="1" max="1" width="50.7109375" customWidth="1"/>
    <col min="2" max="5" width="15.7109375" customWidth="1"/>
  </cols>
  <sheetData>
    <row r="1" spans="1:5" x14ac:dyDescent="0.25">
      <c r="A1" s="53"/>
      <c r="B1" s="54" t="s">
        <v>350</v>
      </c>
      <c r="C1" s="54"/>
      <c r="D1" s="54" t="s">
        <v>252</v>
      </c>
      <c r="E1" s="54"/>
    </row>
    <row r="2" spans="1:5" x14ac:dyDescent="0.25">
      <c r="A2" s="53"/>
      <c r="B2" s="55">
        <v>2022</v>
      </c>
      <c r="C2" s="55">
        <v>2021</v>
      </c>
      <c r="D2" s="55">
        <v>2022</v>
      </c>
      <c r="E2" s="55">
        <v>2021</v>
      </c>
    </row>
    <row r="3" spans="1:5" x14ac:dyDescent="0.25">
      <c r="A3" s="56" t="s">
        <v>29</v>
      </c>
      <c r="B3" s="58">
        <v>73490</v>
      </c>
      <c r="C3" s="58">
        <v>59722</v>
      </c>
      <c r="D3" s="58">
        <v>141466</v>
      </c>
      <c r="E3" s="58">
        <v>105326</v>
      </c>
    </row>
    <row r="4" spans="1:5" x14ac:dyDescent="0.25">
      <c r="A4" s="56" t="s">
        <v>335</v>
      </c>
      <c r="B4" s="59">
        <v>44897</v>
      </c>
      <c r="C4" s="59">
        <v>33543</v>
      </c>
      <c r="D4" s="59">
        <v>86581</v>
      </c>
      <c r="E4" s="59">
        <v>60373</v>
      </c>
    </row>
    <row r="5" spans="1:5" x14ac:dyDescent="0.25">
      <c r="A5" s="56" t="s">
        <v>336</v>
      </c>
      <c r="B5" s="59">
        <v>28593</v>
      </c>
      <c r="C5" s="59">
        <v>26179</v>
      </c>
      <c r="D5" s="59">
        <v>54885</v>
      </c>
      <c r="E5" s="59">
        <v>44953</v>
      </c>
    </row>
    <row r="6" spans="1:5" x14ac:dyDescent="0.25">
      <c r="A6" s="56" t="s">
        <v>337</v>
      </c>
      <c r="B6" s="57"/>
      <c r="C6" s="57"/>
      <c r="D6" s="57"/>
      <c r="E6" s="57"/>
    </row>
    <row r="7" spans="1:5" x14ac:dyDescent="0.25">
      <c r="A7" s="53" t="s">
        <v>338</v>
      </c>
      <c r="B7" s="59">
        <v>13265</v>
      </c>
      <c r="C7" s="59">
        <v>10018</v>
      </c>
      <c r="D7" s="59">
        <v>27184</v>
      </c>
      <c r="E7" s="59">
        <v>16834</v>
      </c>
    </row>
    <row r="8" spans="1:5" x14ac:dyDescent="0.25">
      <c r="A8" s="53" t="s">
        <v>209</v>
      </c>
      <c r="B8" s="59">
        <v>2344</v>
      </c>
      <c r="C8" s="59">
        <v>2062</v>
      </c>
      <c r="D8" s="59">
        <v>4710</v>
      </c>
      <c r="E8" s="59">
        <v>4130</v>
      </c>
    </row>
    <row r="9" spans="1:5" x14ac:dyDescent="0.25">
      <c r="A9" s="56" t="s">
        <v>106</v>
      </c>
      <c r="B9" s="59">
        <v>15609</v>
      </c>
      <c r="C9" s="59">
        <v>12080</v>
      </c>
      <c r="D9" s="59">
        <v>31894</v>
      </c>
      <c r="E9" s="59">
        <v>20964</v>
      </c>
    </row>
    <row r="10" spans="1:5" x14ac:dyDescent="0.25">
      <c r="A10" s="56" t="s">
        <v>108</v>
      </c>
      <c r="B10" s="59">
        <v>12984</v>
      </c>
      <c r="C10" s="59">
        <v>14099</v>
      </c>
      <c r="D10" s="59">
        <v>22991</v>
      </c>
      <c r="E10" s="59">
        <v>23989</v>
      </c>
    </row>
    <row r="11" spans="1:5" x14ac:dyDescent="0.25">
      <c r="A11" s="53" t="s">
        <v>339</v>
      </c>
      <c r="B11" s="59">
        <v>-4170</v>
      </c>
      <c r="C11" s="59">
        <v>-3620</v>
      </c>
      <c r="D11" s="59">
        <v>-8006</v>
      </c>
      <c r="E11" s="59">
        <v>-7329</v>
      </c>
    </row>
    <row r="12" spans="1:5" x14ac:dyDescent="0.25">
      <c r="A12" s="53" t="s">
        <v>277</v>
      </c>
      <c r="B12" s="59">
        <v>0</v>
      </c>
      <c r="C12" s="59">
        <v>-1664</v>
      </c>
      <c r="D12" s="59">
        <v>0</v>
      </c>
      <c r="E12" s="59">
        <v>-1664</v>
      </c>
    </row>
    <row r="13" spans="1:5" x14ac:dyDescent="0.25">
      <c r="A13" s="53" t="s">
        <v>127</v>
      </c>
      <c r="B13" s="59">
        <v>0</v>
      </c>
      <c r="C13" s="59">
        <v>0</v>
      </c>
      <c r="D13" s="59">
        <v>0</v>
      </c>
      <c r="E13" s="59">
        <v>-15990</v>
      </c>
    </row>
    <row r="14" spans="1:5" x14ac:dyDescent="0.25">
      <c r="A14" s="56" t="s">
        <v>340</v>
      </c>
      <c r="B14" s="59">
        <v>8814</v>
      </c>
      <c r="C14" s="59">
        <v>8815</v>
      </c>
      <c r="D14" s="59">
        <v>14985</v>
      </c>
      <c r="E14" s="59">
        <v>-994</v>
      </c>
    </row>
    <row r="15" spans="1:5" x14ac:dyDescent="0.25">
      <c r="A15" s="53" t="s">
        <v>363</v>
      </c>
      <c r="B15" s="59">
        <v>-1511</v>
      </c>
      <c r="C15" s="59">
        <v>339</v>
      </c>
      <c r="D15" s="59">
        <v>-3033</v>
      </c>
      <c r="E15" s="59">
        <v>1814</v>
      </c>
    </row>
    <row r="16" spans="1:5" x14ac:dyDescent="0.25">
      <c r="A16" s="56" t="s">
        <v>206</v>
      </c>
      <c r="B16" s="59">
        <v>7303</v>
      </c>
      <c r="C16" s="59">
        <v>9154</v>
      </c>
      <c r="D16" s="59">
        <v>11952</v>
      </c>
      <c r="E16" s="59">
        <v>820</v>
      </c>
    </row>
    <row r="17" spans="1:5" x14ac:dyDescent="0.25">
      <c r="A17" s="53" t="s">
        <v>351</v>
      </c>
      <c r="B17" s="59">
        <v>2901</v>
      </c>
      <c r="C17" s="59">
        <v>4596</v>
      </c>
      <c r="D17" s="59">
        <v>4910</v>
      </c>
      <c r="E17" s="59">
        <v>-879</v>
      </c>
    </row>
    <row r="18" spans="1:5" x14ac:dyDescent="0.25">
      <c r="A18" s="56" t="s">
        <v>352</v>
      </c>
      <c r="B18" s="58">
        <v>4402</v>
      </c>
      <c r="C18" s="58">
        <v>4558</v>
      </c>
      <c r="D18" s="58">
        <v>7042</v>
      </c>
      <c r="E18" s="58">
        <v>1699</v>
      </c>
    </row>
    <row r="19" spans="1:5" x14ac:dyDescent="0.25">
      <c r="A19" s="53"/>
      <c r="B19" s="54" t="s">
        <v>350</v>
      </c>
      <c r="C19" s="54"/>
      <c r="D19" s="55"/>
      <c r="E19" s="55"/>
    </row>
    <row r="20" spans="1:5" x14ac:dyDescent="0.25">
      <c r="A20" s="53"/>
      <c r="B20" s="55">
        <v>2022</v>
      </c>
      <c r="C20" s="55">
        <v>2021</v>
      </c>
      <c r="D20" s="55" t="s">
        <v>364</v>
      </c>
      <c r="E20" s="55" t="s">
        <v>354</v>
      </c>
    </row>
    <row r="21" spans="1:5" x14ac:dyDescent="0.25">
      <c r="A21" s="56" t="s">
        <v>362</v>
      </c>
      <c r="B21" s="57"/>
      <c r="C21" s="57"/>
      <c r="D21" s="57"/>
      <c r="E21" s="57"/>
    </row>
    <row r="22" spans="1:5" x14ac:dyDescent="0.25">
      <c r="A22" s="53" t="s">
        <v>346</v>
      </c>
      <c r="B22" s="62">
        <v>0.04</v>
      </c>
      <c r="C22" s="62">
        <v>0.05</v>
      </c>
      <c r="D22" s="62">
        <v>0.06</v>
      </c>
      <c r="E22" s="62">
        <v>-0.01</v>
      </c>
    </row>
    <row r="23" spans="1:5" x14ac:dyDescent="0.25">
      <c r="A23" s="53" t="s">
        <v>347</v>
      </c>
      <c r="B23" s="62">
        <v>0.04</v>
      </c>
      <c r="C23" s="62">
        <v>0.05</v>
      </c>
      <c r="D23" s="62">
        <v>0.06</v>
      </c>
      <c r="E23" s="62">
        <v>-0.01</v>
      </c>
    </row>
    <row r="24" spans="1:5" x14ac:dyDescent="0.25">
      <c r="A24" s="56" t="s">
        <v>348</v>
      </c>
      <c r="B24" s="57"/>
      <c r="C24" s="57"/>
      <c r="D24" s="57"/>
      <c r="E24" s="57"/>
    </row>
    <row r="25" spans="1:5" x14ac:dyDescent="0.25">
      <c r="A25" s="53" t="s">
        <v>346</v>
      </c>
      <c r="B25" s="59">
        <v>112489</v>
      </c>
      <c r="C25" s="59">
        <v>93544</v>
      </c>
      <c r="D25" s="59">
        <v>112350</v>
      </c>
      <c r="E25" s="59">
        <v>93542</v>
      </c>
    </row>
    <row r="26" spans="1:5" x14ac:dyDescent="0.25">
      <c r="A26" s="53" t="s">
        <v>347</v>
      </c>
      <c r="B26" s="59">
        <v>112616</v>
      </c>
      <c r="C26" s="59">
        <v>166827</v>
      </c>
      <c r="D26" s="59">
        <v>112428</v>
      </c>
      <c r="E26" s="59">
        <v>93542</v>
      </c>
    </row>
    <row r="28" spans="1:5" x14ac:dyDescent="0.25">
      <c r="A28" s="60" t="s">
        <v>148</v>
      </c>
    </row>
  </sheetData>
  <hyperlinks>
    <hyperlink ref="A28" r:id="rId1" xr:uid="{00000000-0004-0000-1100-000000000000}"/>
  </hyperlinks>
  <pageMargins left="0.75" right="0.75" top="1" bottom="1" header="0.5" footer="0.5"/>
  <pageSetup orientation="portrait" verticalDpi="0"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4" tint="0.79998168889431442"/>
  </sheetPr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4" tint="0.79998168889431442"/>
  </sheetPr>
  <dimension ref="A1:C29"/>
  <sheetViews>
    <sheetView workbookViewId="0"/>
  </sheetViews>
  <sheetFormatPr defaultRowHeight="15" x14ac:dyDescent="0.25"/>
  <cols>
    <col min="1" max="1" width="43.7109375" customWidth="1"/>
    <col min="2" max="3" width="15.7109375" customWidth="1"/>
  </cols>
  <sheetData>
    <row r="1" spans="1:3" x14ac:dyDescent="0.25">
      <c r="A1" s="53"/>
      <c r="B1" s="54" t="s">
        <v>129</v>
      </c>
      <c r="C1" s="54"/>
    </row>
    <row r="2" spans="1:3" x14ac:dyDescent="0.25">
      <c r="A2" s="53"/>
      <c r="B2" s="55">
        <v>2020</v>
      </c>
      <c r="C2" s="55">
        <v>2019</v>
      </c>
    </row>
    <row r="3" spans="1:3" x14ac:dyDescent="0.25">
      <c r="A3" s="56" t="s">
        <v>62</v>
      </c>
      <c r="B3" s="57"/>
      <c r="C3" s="57"/>
    </row>
    <row r="4" spans="1:3" x14ac:dyDescent="0.25">
      <c r="A4" s="56" t="s">
        <v>130</v>
      </c>
      <c r="B4" s="57"/>
      <c r="C4" s="57"/>
    </row>
    <row r="5" spans="1:3" x14ac:dyDescent="0.25">
      <c r="A5" s="53" t="s">
        <v>61</v>
      </c>
      <c r="B5" s="58">
        <v>10073</v>
      </c>
      <c r="C5" s="58">
        <v>7082</v>
      </c>
    </row>
    <row r="6" spans="1:3" x14ac:dyDescent="0.25">
      <c r="A6" s="53" t="s">
        <v>63</v>
      </c>
      <c r="B6" s="59">
        <v>27004</v>
      </c>
      <c r="C6" s="59">
        <v>27292</v>
      </c>
    </row>
    <row r="7" spans="1:3" x14ac:dyDescent="0.25">
      <c r="A7" s="53" t="s">
        <v>64</v>
      </c>
      <c r="B7" s="59">
        <v>3794</v>
      </c>
      <c r="C7" s="59">
        <v>2505</v>
      </c>
    </row>
    <row r="8" spans="1:3" x14ac:dyDescent="0.25">
      <c r="A8" s="53" t="s">
        <v>131</v>
      </c>
      <c r="B8" s="59">
        <v>15121</v>
      </c>
      <c r="C8" s="59">
        <v>8834</v>
      </c>
    </row>
    <row r="9" spans="1:3" x14ac:dyDescent="0.25">
      <c r="A9" s="53" t="s">
        <v>132</v>
      </c>
      <c r="B9" s="59">
        <v>155</v>
      </c>
      <c r="C9" s="59">
        <v>798</v>
      </c>
    </row>
    <row r="10" spans="1:3" x14ac:dyDescent="0.25">
      <c r="A10" s="56" t="s">
        <v>133</v>
      </c>
      <c r="B10" s="59">
        <v>56147</v>
      </c>
      <c r="C10" s="59">
        <v>46511</v>
      </c>
    </row>
    <row r="11" spans="1:3" x14ac:dyDescent="0.25">
      <c r="A11" s="53" t="s">
        <v>134</v>
      </c>
      <c r="B11" s="59">
        <v>12763</v>
      </c>
      <c r="C11" s="59">
        <v>10947</v>
      </c>
    </row>
    <row r="12" spans="1:3" x14ac:dyDescent="0.25">
      <c r="A12" s="53" t="s">
        <v>66</v>
      </c>
      <c r="B12" s="59">
        <v>50176</v>
      </c>
      <c r="C12" s="59">
        <v>50176</v>
      </c>
    </row>
    <row r="13" spans="1:3" x14ac:dyDescent="0.25">
      <c r="A13" s="53" t="s">
        <v>135</v>
      </c>
      <c r="B13" s="59">
        <v>71988</v>
      </c>
      <c r="C13" s="59">
        <v>79973</v>
      </c>
    </row>
    <row r="14" spans="1:3" x14ac:dyDescent="0.25">
      <c r="A14" s="53" t="s">
        <v>68</v>
      </c>
      <c r="B14" s="59">
        <v>4236</v>
      </c>
      <c r="C14" s="59">
        <v>0</v>
      </c>
    </row>
    <row r="15" spans="1:3" x14ac:dyDescent="0.25">
      <c r="A15" s="56" t="s">
        <v>136</v>
      </c>
      <c r="B15" s="58">
        <v>195310</v>
      </c>
      <c r="C15" s="58">
        <v>187607</v>
      </c>
    </row>
    <row r="16" spans="1:3" x14ac:dyDescent="0.25">
      <c r="A16" s="56" t="s">
        <v>137</v>
      </c>
      <c r="B16" s="57"/>
      <c r="C16" s="57"/>
    </row>
    <row r="17" spans="1:3" x14ac:dyDescent="0.25">
      <c r="A17" s="56" t="s">
        <v>138</v>
      </c>
      <c r="B17" s="57"/>
      <c r="C17" s="57"/>
    </row>
    <row r="18" spans="1:3" x14ac:dyDescent="0.25">
      <c r="A18" s="53" t="s">
        <v>139</v>
      </c>
      <c r="B18" s="58">
        <v>14634</v>
      </c>
      <c r="C18" s="58">
        <v>10383</v>
      </c>
    </row>
    <row r="19" spans="1:3" x14ac:dyDescent="0.25">
      <c r="A19" s="53" t="s">
        <v>69</v>
      </c>
      <c r="B19" s="59">
        <v>5967</v>
      </c>
      <c r="C19" s="59">
        <v>1264</v>
      </c>
    </row>
    <row r="20" spans="1:3" x14ac:dyDescent="0.25">
      <c r="A20" s="53" t="s">
        <v>140</v>
      </c>
      <c r="B20" s="59">
        <v>3500</v>
      </c>
      <c r="C20" s="59">
        <v>12894</v>
      </c>
    </row>
    <row r="21" spans="1:3" x14ac:dyDescent="0.25">
      <c r="A21" s="56" t="s">
        <v>141</v>
      </c>
      <c r="B21" s="59">
        <v>24101</v>
      </c>
      <c r="C21" s="59">
        <v>24541</v>
      </c>
    </row>
    <row r="22" spans="1:3" x14ac:dyDescent="0.25">
      <c r="A22" s="53" t="s">
        <v>142</v>
      </c>
      <c r="B22" s="59">
        <v>20000</v>
      </c>
      <c r="C22" s="59">
        <v>0</v>
      </c>
    </row>
    <row r="23" spans="1:3" x14ac:dyDescent="0.25">
      <c r="A23" s="53" t="s">
        <v>143</v>
      </c>
      <c r="B23" s="59">
        <v>335332</v>
      </c>
      <c r="C23" s="59">
        <v>13160</v>
      </c>
    </row>
    <row r="24" spans="1:3" x14ac:dyDescent="0.25">
      <c r="A24" s="56" t="s">
        <v>144</v>
      </c>
      <c r="B24" s="59">
        <v>379433</v>
      </c>
      <c r="C24" s="59">
        <v>37701</v>
      </c>
    </row>
    <row r="25" spans="1:3" x14ac:dyDescent="0.25">
      <c r="A25" s="56" t="s">
        <v>145</v>
      </c>
      <c r="B25" s="57"/>
      <c r="C25" s="57"/>
    </row>
    <row r="26" spans="1:3" x14ac:dyDescent="0.25">
      <c r="A26" s="56" t="s">
        <v>146</v>
      </c>
      <c r="B26" s="59">
        <v>-184123</v>
      </c>
      <c r="C26" s="59">
        <v>149906</v>
      </c>
    </row>
    <row r="27" spans="1:3" x14ac:dyDescent="0.25">
      <c r="A27" s="56" t="s">
        <v>147</v>
      </c>
      <c r="B27" s="58">
        <v>195310</v>
      </c>
      <c r="C27" s="58">
        <v>187607</v>
      </c>
    </row>
    <row r="29" spans="1:3" x14ac:dyDescent="0.25">
      <c r="A29" s="60" t="s">
        <v>148</v>
      </c>
    </row>
  </sheetData>
  <hyperlinks>
    <hyperlink ref="A29" r:id="rId1" xr:uid="{00000000-0004-0000-1300-000000000000}"/>
  </hyperlinks>
  <pageMargins left="0.75" right="0.75" top="1" bottom="1" header="0.5" footer="0.5"/>
  <pageSetup orientation="portrait" verticalDpi="0"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4" tint="0.79998168889431442"/>
  </sheetPr>
  <dimension ref="A1:C39"/>
  <sheetViews>
    <sheetView workbookViewId="0"/>
  </sheetViews>
  <sheetFormatPr defaultRowHeight="15" x14ac:dyDescent="0.25"/>
  <cols>
    <col min="1" max="1" width="54.28515625" customWidth="1"/>
    <col min="2" max="3" width="15.7109375" customWidth="1"/>
  </cols>
  <sheetData>
    <row r="1" spans="1:3" x14ac:dyDescent="0.25">
      <c r="A1" s="53"/>
      <c r="B1" s="55" t="s">
        <v>149</v>
      </c>
      <c r="C1" s="55" t="s">
        <v>150</v>
      </c>
    </row>
    <row r="2" spans="1:3" x14ac:dyDescent="0.25">
      <c r="A2" s="56" t="s">
        <v>62</v>
      </c>
      <c r="B2" s="57"/>
      <c r="C2" s="57"/>
    </row>
    <row r="3" spans="1:3" x14ac:dyDescent="0.25">
      <c r="A3" s="53" t="s">
        <v>130</v>
      </c>
      <c r="B3" s="57"/>
      <c r="C3" s="57"/>
    </row>
    <row r="4" spans="1:3" x14ac:dyDescent="0.25">
      <c r="A4" s="53" t="s">
        <v>61</v>
      </c>
      <c r="B4" s="58">
        <v>4227</v>
      </c>
      <c r="C4" s="58">
        <v>10073</v>
      </c>
    </row>
    <row r="5" spans="1:3" x14ac:dyDescent="0.25">
      <c r="A5" s="53" t="s">
        <v>63</v>
      </c>
      <c r="B5" s="59">
        <v>28138</v>
      </c>
      <c r="C5" s="59">
        <v>27004</v>
      </c>
    </row>
    <row r="6" spans="1:3" x14ac:dyDescent="0.25">
      <c r="A6" s="53" t="s">
        <v>64</v>
      </c>
      <c r="B6" s="59">
        <v>9995</v>
      </c>
      <c r="C6" s="59">
        <v>3794</v>
      </c>
    </row>
    <row r="7" spans="1:3" x14ac:dyDescent="0.25">
      <c r="A7" s="53" t="s">
        <v>131</v>
      </c>
      <c r="B7" s="59">
        <v>21092</v>
      </c>
      <c r="C7" s="59">
        <v>15121</v>
      </c>
    </row>
    <row r="8" spans="1:3" x14ac:dyDescent="0.25">
      <c r="A8" s="53" t="s">
        <v>132</v>
      </c>
      <c r="B8" s="59">
        <v>6512</v>
      </c>
      <c r="C8" s="59">
        <v>155</v>
      </c>
    </row>
    <row r="9" spans="1:3" x14ac:dyDescent="0.25">
      <c r="A9" s="53" t="s">
        <v>133</v>
      </c>
      <c r="B9" s="59">
        <v>69964</v>
      </c>
      <c r="C9" s="59">
        <v>56147</v>
      </c>
    </row>
    <row r="10" spans="1:3" x14ac:dyDescent="0.25">
      <c r="A10" s="53" t="s">
        <v>134</v>
      </c>
      <c r="B10" s="59">
        <v>13160</v>
      </c>
      <c r="C10" s="59">
        <v>12763</v>
      </c>
    </row>
    <row r="11" spans="1:3" x14ac:dyDescent="0.25">
      <c r="A11" s="53" t="s">
        <v>66</v>
      </c>
      <c r="B11" s="59">
        <v>50176</v>
      </c>
      <c r="C11" s="59">
        <v>50176</v>
      </c>
    </row>
    <row r="12" spans="1:3" x14ac:dyDescent="0.25">
      <c r="A12" s="53" t="s">
        <v>135</v>
      </c>
      <c r="B12" s="59">
        <v>69992</v>
      </c>
      <c r="C12" s="59">
        <v>71988</v>
      </c>
    </row>
    <row r="13" spans="1:3" x14ac:dyDescent="0.25">
      <c r="A13" s="53" t="s">
        <v>151</v>
      </c>
      <c r="B13" s="59">
        <v>48492</v>
      </c>
      <c r="C13" s="59">
        <v>0</v>
      </c>
    </row>
    <row r="14" spans="1:3" x14ac:dyDescent="0.25">
      <c r="A14" s="53" t="s">
        <v>68</v>
      </c>
      <c r="B14" s="59">
        <v>475</v>
      </c>
      <c r="C14" s="59">
        <v>4236</v>
      </c>
    </row>
    <row r="15" spans="1:3" x14ac:dyDescent="0.25">
      <c r="A15" s="56" t="s">
        <v>136</v>
      </c>
      <c r="B15" s="58">
        <v>252259</v>
      </c>
      <c r="C15" s="58">
        <v>195310</v>
      </c>
    </row>
    <row r="16" spans="1:3" x14ac:dyDescent="0.25">
      <c r="A16" s="56" t="s">
        <v>152</v>
      </c>
      <c r="B16" s="57"/>
      <c r="C16" s="57"/>
    </row>
    <row r="17" spans="1:3" x14ac:dyDescent="0.25">
      <c r="A17" s="53" t="s">
        <v>138</v>
      </c>
      <c r="B17" s="57"/>
      <c r="C17" s="57"/>
    </row>
    <row r="18" spans="1:3" x14ac:dyDescent="0.25">
      <c r="A18" s="53" t="s">
        <v>139</v>
      </c>
      <c r="B18" s="58">
        <v>12941</v>
      </c>
      <c r="C18" s="58">
        <v>14634</v>
      </c>
    </row>
    <row r="19" spans="1:3" x14ac:dyDescent="0.25">
      <c r="A19" s="53" t="s">
        <v>69</v>
      </c>
      <c r="B19" s="59">
        <v>8534</v>
      </c>
      <c r="C19" s="59">
        <v>5967</v>
      </c>
    </row>
    <row r="20" spans="1:3" x14ac:dyDescent="0.25">
      <c r="A20" s="53" t="s">
        <v>140</v>
      </c>
      <c r="B20" s="59">
        <v>3500</v>
      </c>
      <c r="C20" s="59">
        <v>3500</v>
      </c>
    </row>
    <row r="21" spans="1:3" x14ac:dyDescent="0.25">
      <c r="A21" s="53" t="s">
        <v>141</v>
      </c>
      <c r="B21" s="59">
        <v>24975</v>
      </c>
      <c r="C21" s="59">
        <v>24101</v>
      </c>
    </row>
    <row r="22" spans="1:3" x14ac:dyDescent="0.25">
      <c r="A22" s="53" t="s">
        <v>142</v>
      </c>
      <c r="B22" s="59">
        <v>39000</v>
      </c>
      <c r="C22" s="59">
        <v>20000</v>
      </c>
    </row>
    <row r="23" spans="1:3" x14ac:dyDescent="0.25">
      <c r="A23" s="53" t="s">
        <v>143</v>
      </c>
      <c r="B23" s="59">
        <v>189450</v>
      </c>
      <c r="C23" s="59">
        <v>335332</v>
      </c>
    </row>
    <row r="24" spans="1:3" x14ac:dyDescent="0.25">
      <c r="A24" s="53" t="s">
        <v>153</v>
      </c>
      <c r="B24" s="59">
        <v>41692</v>
      </c>
      <c r="C24" s="59">
        <v>0</v>
      </c>
    </row>
    <row r="25" spans="1:3" x14ac:dyDescent="0.25">
      <c r="A25" s="53" t="s">
        <v>144</v>
      </c>
      <c r="B25" s="59">
        <v>295117</v>
      </c>
      <c r="C25" s="59">
        <v>379433</v>
      </c>
    </row>
    <row r="26" spans="1:3" x14ac:dyDescent="0.25">
      <c r="A26" s="53" t="s">
        <v>154</v>
      </c>
      <c r="B26" s="57"/>
      <c r="C26" s="57"/>
    </row>
    <row r="27" spans="1:3" x14ac:dyDescent="0.25">
      <c r="A27" s="53" t="s">
        <v>155</v>
      </c>
      <c r="B27" s="57"/>
      <c r="C27" s="57"/>
    </row>
    <row r="28" spans="1:3" x14ac:dyDescent="0.25">
      <c r="A28" s="53" t="s">
        <v>156</v>
      </c>
      <c r="B28" s="59">
        <v>0</v>
      </c>
      <c r="C28" s="59">
        <v>-184123</v>
      </c>
    </row>
    <row r="29" spans="1:3" x14ac:dyDescent="0.25">
      <c r="A29" s="53" t="s">
        <v>157</v>
      </c>
      <c r="B29" s="59">
        <v>0</v>
      </c>
      <c r="C29" s="59">
        <v>0</v>
      </c>
    </row>
    <row r="30" spans="1:3" x14ac:dyDescent="0.25">
      <c r="A30" s="53" t="s">
        <v>158</v>
      </c>
      <c r="B30" s="59">
        <v>1</v>
      </c>
      <c r="C30" s="59">
        <v>0</v>
      </c>
    </row>
    <row r="31" spans="1:3" x14ac:dyDescent="0.25">
      <c r="A31" s="53" t="s">
        <v>159</v>
      </c>
      <c r="B31" s="59">
        <v>1</v>
      </c>
      <c r="C31" s="59">
        <v>0</v>
      </c>
    </row>
    <row r="32" spans="1:3" x14ac:dyDescent="0.25">
      <c r="A32" s="53" t="s">
        <v>160</v>
      </c>
      <c r="B32" s="59">
        <v>78073</v>
      </c>
      <c r="C32" s="59">
        <v>0</v>
      </c>
    </row>
    <row r="33" spans="1:3" x14ac:dyDescent="0.25">
      <c r="A33" s="53" t="s">
        <v>161</v>
      </c>
      <c r="B33" s="59">
        <v>-98340</v>
      </c>
      <c r="C33" s="59">
        <v>0</v>
      </c>
    </row>
    <row r="34" spans="1:3" x14ac:dyDescent="0.25">
      <c r="A34" s="53" t="s">
        <v>162</v>
      </c>
      <c r="B34" s="59">
        <v>-20265</v>
      </c>
      <c r="C34" s="59">
        <v>-184123</v>
      </c>
    </row>
    <row r="35" spans="1:3" x14ac:dyDescent="0.25">
      <c r="A35" s="53" t="s">
        <v>81</v>
      </c>
      <c r="B35" s="59">
        <v>-22593</v>
      </c>
      <c r="C35" s="59">
        <v>0</v>
      </c>
    </row>
    <row r="36" spans="1:3" x14ac:dyDescent="0.25">
      <c r="A36" s="53" t="s">
        <v>163</v>
      </c>
      <c r="B36" s="59">
        <v>-42858</v>
      </c>
      <c r="C36" s="59">
        <v>-184123</v>
      </c>
    </row>
    <row r="37" spans="1:3" x14ac:dyDescent="0.25">
      <c r="A37" s="56" t="s">
        <v>164</v>
      </c>
      <c r="B37" s="58">
        <v>252259</v>
      </c>
      <c r="C37" s="58">
        <v>195310</v>
      </c>
    </row>
    <row r="39" spans="1:3" x14ac:dyDescent="0.25">
      <c r="A39" s="60" t="s">
        <v>148</v>
      </c>
    </row>
  </sheetData>
  <hyperlinks>
    <hyperlink ref="A39" r:id="rId1" xr:uid="{00000000-0004-0000-1400-000000000000}"/>
  </hyperlinks>
  <pageMargins left="0.75" right="0.75" top="1" bottom="1" header="0.5" footer="0.5"/>
  <pageSetup orientation="portrait" verticalDpi="0"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4" tint="0.79998168889431442"/>
  </sheetPr>
  <dimension ref="A1:C39"/>
  <sheetViews>
    <sheetView workbookViewId="0"/>
  </sheetViews>
  <sheetFormatPr defaultRowHeight="15" x14ac:dyDescent="0.25"/>
  <cols>
    <col min="1" max="1" width="50.7109375" customWidth="1"/>
    <col min="2" max="3" width="15.7109375" customWidth="1"/>
  </cols>
  <sheetData>
    <row r="1" spans="1:3" x14ac:dyDescent="0.25">
      <c r="A1" s="53"/>
      <c r="B1" s="55" t="s">
        <v>165</v>
      </c>
      <c r="C1" s="55" t="s">
        <v>150</v>
      </c>
    </row>
    <row r="2" spans="1:3" x14ac:dyDescent="0.25">
      <c r="A2" s="56" t="s">
        <v>62</v>
      </c>
      <c r="B2" s="57"/>
      <c r="C2" s="57"/>
    </row>
    <row r="3" spans="1:3" x14ac:dyDescent="0.25">
      <c r="A3" s="53" t="s">
        <v>130</v>
      </c>
      <c r="B3" s="57"/>
      <c r="C3" s="57"/>
    </row>
    <row r="4" spans="1:3" x14ac:dyDescent="0.25">
      <c r="A4" s="53" t="s">
        <v>61</v>
      </c>
      <c r="B4" s="58">
        <v>13171</v>
      </c>
      <c r="C4" s="58">
        <v>10073</v>
      </c>
    </row>
    <row r="5" spans="1:3" x14ac:dyDescent="0.25">
      <c r="A5" s="53" t="s">
        <v>63</v>
      </c>
      <c r="B5" s="59">
        <v>42977</v>
      </c>
      <c r="C5" s="59">
        <v>27004</v>
      </c>
    </row>
    <row r="6" spans="1:3" x14ac:dyDescent="0.25">
      <c r="A6" s="53" t="s">
        <v>64</v>
      </c>
      <c r="B6" s="59">
        <v>6797</v>
      </c>
      <c r="C6" s="59">
        <v>3794</v>
      </c>
    </row>
    <row r="7" spans="1:3" x14ac:dyDescent="0.25">
      <c r="A7" s="53" t="s">
        <v>131</v>
      </c>
      <c r="B7" s="59">
        <v>21272</v>
      </c>
      <c r="C7" s="59">
        <v>15121</v>
      </c>
    </row>
    <row r="8" spans="1:3" x14ac:dyDescent="0.25">
      <c r="A8" s="53" t="s">
        <v>132</v>
      </c>
      <c r="B8" s="59">
        <v>7292</v>
      </c>
      <c r="C8" s="59">
        <v>155</v>
      </c>
    </row>
    <row r="9" spans="1:3" x14ac:dyDescent="0.25">
      <c r="A9" s="53" t="s">
        <v>133</v>
      </c>
      <c r="B9" s="59">
        <v>91509</v>
      </c>
      <c r="C9" s="59">
        <v>56147</v>
      </c>
    </row>
    <row r="10" spans="1:3" x14ac:dyDescent="0.25">
      <c r="A10" s="53" t="s">
        <v>134</v>
      </c>
      <c r="B10" s="59">
        <v>13622</v>
      </c>
      <c r="C10" s="59">
        <v>12763</v>
      </c>
    </row>
    <row r="11" spans="1:3" x14ac:dyDescent="0.25">
      <c r="A11" s="53" t="s">
        <v>66</v>
      </c>
      <c r="B11" s="59">
        <v>50176</v>
      </c>
      <c r="C11" s="59">
        <v>50176</v>
      </c>
    </row>
    <row r="12" spans="1:3" x14ac:dyDescent="0.25">
      <c r="A12" s="53" t="s">
        <v>135</v>
      </c>
      <c r="B12" s="59">
        <v>67996</v>
      </c>
      <c r="C12" s="59">
        <v>71988</v>
      </c>
    </row>
    <row r="13" spans="1:3" x14ac:dyDescent="0.25">
      <c r="A13" s="53" t="s">
        <v>151</v>
      </c>
      <c r="B13" s="59">
        <v>49573</v>
      </c>
      <c r="C13" s="59">
        <v>0</v>
      </c>
    </row>
    <row r="14" spans="1:3" x14ac:dyDescent="0.25">
      <c r="A14" s="53" t="s">
        <v>68</v>
      </c>
      <c r="B14" s="59">
        <v>840</v>
      </c>
      <c r="C14" s="59">
        <v>4236</v>
      </c>
    </row>
    <row r="15" spans="1:3" x14ac:dyDescent="0.25">
      <c r="A15" s="56" t="s">
        <v>136</v>
      </c>
      <c r="B15" s="58">
        <v>273716</v>
      </c>
      <c r="C15" s="58">
        <v>195310</v>
      </c>
    </row>
    <row r="16" spans="1:3" x14ac:dyDescent="0.25">
      <c r="A16" s="56" t="s">
        <v>152</v>
      </c>
      <c r="B16" s="57"/>
      <c r="C16" s="57"/>
    </row>
    <row r="17" spans="1:3" x14ac:dyDescent="0.25">
      <c r="A17" s="53" t="s">
        <v>138</v>
      </c>
      <c r="B17" s="57"/>
      <c r="C17" s="57"/>
    </row>
    <row r="18" spans="1:3" x14ac:dyDescent="0.25">
      <c r="A18" s="53" t="s">
        <v>139</v>
      </c>
      <c r="B18" s="58">
        <v>14224</v>
      </c>
      <c r="C18" s="58">
        <v>14634</v>
      </c>
    </row>
    <row r="19" spans="1:3" x14ac:dyDescent="0.25">
      <c r="A19" s="53" t="s">
        <v>69</v>
      </c>
      <c r="B19" s="59">
        <v>9499</v>
      </c>
      <c r="C19" s="59">
        <v>5967</v>
      </c>
    </row>
    <row r="20" spans="1:3" x14ac:dyDescent="0.25">
      <c r="A20" s="53" t="s">
        <v>140</v>
      </c>
      <c r="B20" s="59">
        <v>3500</v>
      </c>
      <c r="C20" s="59">
        <v>3500</v>
      </c>
    </row>
    <row r="21" spans="1:3" x14ac:dyDescent="0.25">
      <c r="A21" s="53" t="s">
        <v>141</v>
      </c>
      <c r="B21" s="59">
        <v>27223</v>
      </c>
      <c r="C21" s="59">
        <v>24101</v>
      </c>
    </row>
    <row r="22" spans="1:3" x14ac:dyDescent="0.25">
      <c r="A22" s="53" t="s">
        <v>142</v>
      </c>
      <c r="B22" s="59">
        <v>49000</v>
      </c>
      <c r="C22" s="59">
        <v>20000</v>
      </c>
    </row>
    <row r="23" spans="1:3" x14ac:dyDescent="0.25">
      <c r="A23" s="53" t="s">
        <v>143</v>
      </c>
      <c r="B23" s="59">
        <v>188859</v>
      </c>
      <c r="C23" s="59">
        <v>335332</v>
      </c>
    </row>
    <row r="24" spans="1:3" x14ac:dyDescent="0.25">
      <c r="A24" s="53" t="s">
        <v>153</v>
      </c>
      <c r="B24" s="59">
        <v>43356</v>
      </c>
      <c r="C24" s="59">
        <v>0</v>
      </c>
    </row>
    <row r="25" spans="1:3" x14ac:dyDescent="0.25">
      <c r="A25" s="53" t="s">
        <v>144</v>
      </c>
      <c r="B25" s="59">
        <v>308438</v>
      </c>
      <c r="C25" s="59">
        <v>379433</v>
      </c>
    </row>
    <row r="26" spans="1:3" x14ac:dyDescent="0.25">
      <c r="A26" s="53" t="s">
        <v>154</v>
      </c>
      <c r="B26" s="57"/>
      <c r="C26" s="57"/>
    </row>
    <row r="27" spans="1:3" x14ac:dyDescent="0.25">
      <c r="A27" s="53" t="s">
        <v>155</v>
      </c>
      <c r="B27" s="57"/>
      <c r="C27" s="57"/>
    </row>
    <row r="28" spans="1:3" x14ac:dyDescent="0.25">
      <c r="A28" s="53" t="s">
        <v>156</v>
      </c>
      <c r="B28" s="59">
        <v>0</v>
      </c>
      <c r="C28" s="59">
        <v>-184123</v>
      </c>
    </row>
    <row r="29" spans="1:3" x14ac:dyDescent="0.25">
      <c r="A29" s="53" t="s">
        <v>166</v>
      </c>
      <c r="B29" s="59">
        <v>0</v>
      </c>
      <c r="C29" s="59">
        <v>0</v>
      </c>
    </row>
    <row r="30" spans="1:3" x14ac:dyDescent="0.25">
      <c r="A30" s="53" t="s">
        <v>167</v>
      </c>
      <c r="B30" s="59">
        <v>1</v>
      </c>
      <c r="C30" s="59">
        <v>0</v>
      </c>
    </row>
    <row r="31" spans="1:3" x14ac:dyDescent="0.25">
      <c r="A31" s="53" t="s">
        <v>168</v>
      </c>
      <c r="B31" s="59">
        <v>1</v>
      </c>
      <c r="C31" s="59">
        <v>0</v>
      </c>
    </row>
    <row r="32" spans="1:3" x14ac:dyDescent="0.25">
      <c r="A32" s="53" t="s">
        <v>160</v>
      </c>
      <c r="B32" s="59">
        <v>78883</v>
      </c>
      <c r="C32" s="59">
        <v>0</v>
      </c>
    </row>
    <row r="33" spans="1:3" x14ac:dyDescent="0.25">
      <c r="A33" s="53" t="s">
        <v>161</v>
      </c>
      <c r="B33" s="59">
        <v>-93782</v>
      </c>
      <c r="C33" s="59">
        <v>0</v>
      </c>
    </row>
    <row r="34" spans="1:3" x14ac:dyDescent="0.25">
      <c r="A34" s="53" t="s">
        <v>162</v>
      </c>
      <c r="B34" s="59">
        <v>-14897</v>
      </c>
      <c r="C34" s="59">
        <v>-184123</v>
      </c>
    </row>
    <row r="35" spans="1:3" x14ac:dyDescent="0.25">
      <c r="A35" s="53" t="s">
        <v>81</v>
      </c>
      <c r="B35" s="59">
        <v>-19825</v>
      </c>
      <c r="C35" s="59">
        <v>0</v>
      </c>
    </row>
    <row r="36" spans="1:3" x14ac:dyDescent="0.25">
      <c r="A36" s="53" t="s">
        <v>163</v>
      </c>
      <c r="B36" s="59">
        <v>-34722</v>
      </c>
      <c r="C36" s="59">
        <v>-184123</v>
      </c>
    </row>
    <row r="37" spans="1:3" x14ac:dyDescent="0.25">
      <c r="A37" s="56" t="s">
        <v>164</v>
      </c>
      <c r="B37" s="58">
        <v>273716</v>
      </c>
      <c r="C37" s="58">
        <v>195310</v>
      </c>
    </row>
    <row r="39" spans="1:3" x14ac:dyDescent="0.25">
      <c r="A39" s="60" t="s">
        <v>148</v>
      </c>
    </row>
  </sheetData>
  <hyperlinks>
    <hyperlink ref="A39" r:id="rId1" xr:uid="{00000000-0004-0000-1500-000000000000}"/>
  </hyperlinks>
  <pageMargins left="0.75" right="0.75" top="1" bottom="1" header="0.5" footer="0.5"/>
  <pageSetup orientation="portrait" verticalDpi="0"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4" tint="0.79998168889431442"/>
  </sheetPr>
  <dimension ref="A1:C39"/>
  <sheetViews>
    <sheetView workbookViewId="0"/>
  </sheetViews>
  <sheetFormatPr defaultRowHeight="15" x14ac:dyDescent="0.25"/>
  <cols>
    <col min="1" max="1" width="50.7109375" customWidth="1"/>
    <col min="2" max="2" width="15.7109375" customWidth="1"/>
    <col min="3" max="3" width="18.5703125" bestFit="1" customWidth="1"/>
  </cols>
  <sheetData>
    <row r="1" spans="1:3" x14ac:dyDescent="0.25">
      <c r="A1" s="53"/>
      <c r="B1" s="55" t="s">
        <v>169</v>
      </c>
      <c r="C1" s="55" t="s">
        <v>150</v>
      </c>
    </row>
    <row r="2" spans="1:3" x14ac:dyDescent="0.25">
      <c r="A2" s="56" t="s">
        <v>62</v>
      </c>
      <c r="B2" s="57"/>
      <c r="C2" s="57"/>
    </row>
    <row r="3" spans="1:3" x14ac:dyDescent="0.25">
      <c r="A3" s="53" t="s">
        <v>130</v>
      </c>
      <c r="B3" s="57"/>
      <c r="C3" s="57"/>
    </row>
    <row r="4" spans="1:3" x14ac:dyDescent="0.25">
      <c r="A4" s="53" t="s">
        <v>61</v>
      </c>
      <c r="B4" s="58">
        <v>14189</v>
      </c>
      <c r="C4" s="58">
        <v>10073</v>
      </c>
    </row>
    <row r="5" spans="1:3" x14ac:dyDescent="0.25">
      <c r="A5" s="53" t="s">
        <v>63</v>
      </c>
      <c r="B5" s="59">
        <v>44588</v>
      </c>
      <c r="C5" s="59">
        <v>27004</v>
      </c>
    </row>
    <row r="6" spans="1:3" x14ac:dyDescent="0.25">
      <c r="A6" s="53" t="s">
        <v>64</v>
      </c>
      <c r="B6" s="59">
        <v>10554</v>
      </c>
      <c r="C6" s="59">
        <v>3794</v>
      </c>
    </row>
    <row r="7" spans="1:3" x14ac:dyDescent="0.25">
      <c r="A7" s="53" t="s">
        <v>131</v>
      </c>
      <c r="B7" s="59">
        <v>27832</v>
      </c>
      <c r="C7" s="59">
        <v>15121</v>
      </c>
    </row>
    <row r="8" spans="1:3" x14ac:dyDescent="0.25">
      <c r="A8" s="53" t="s">
        <v>132</v>
      </c>
      <c r="B8" s="59">
        <v>11706</v>
      </c>
      <c r="C8" s="59">
        <v>155</v>
      </c>
    </row>
    <row r="9" spans="1:3" x14ac:dyDescent="0.25">
      <c r="A9" s="53" t="s">
        <v>133</v>
      </c>
      <c r="B9" s="59">
        <v>108869</v>
      </c>
      <c r="C9" s="59">
        <v>56147</v>
      </c>
    </row>
    <row r="10" spans="1:3" x14ac:dyDescent="0.25">
      <c r="A10" s="53" t="s">
        <v>134</v>
      </c>
      <c r="B10" s="59">
        <v>14358</v>
      </c>
      <c r="C10" s="59">
        <v>12763</v>
      </c>
    </row>
    <row r="11" spans="1:3" x14ac:dyDescent="0.25">
      <c r="A11" s="53" t="s">
        <v>66</v>
      </c>
      <c r="B11" s="59">
        <v>69321</v>
      </c>
      <c r="C11" s="59">
        <v>50176</v>
      </c>
    </row>
    <row r="12" spans="1:3" x14ac:dyDescent="0.25">
      <c r="A12" s="53" t="s">
        <v>135</v>
      </c>
      <c r="B12" s="59">
        <v>67508</v>
      </c>
      <c r="C12" s="59">
        <v>71988</v>
      </c>
    </row>
    <row r="13" spans="1:3" x14ac:dyDescent="0.25">
      <c r="A13" s="53" t="s">
        <v>151</v>
      </c>
      <c r="B13" s="59">
        <v>121545</v>
      </c>
      <c r="C13" s="59">
        <v>0</v>
      </c>
    </row>
    <row r="14" spans="1:3" x14ac:dyDescent="0.25">
      <c r="A14" s="53" t="s">
        <v>68</v>
      </c>
      <c r="B14" s="59">
        <v>1204</v>
      </c>
      <c r="C14" s="59">
        <v>4236</v>
      </c>
    </row>
    <row r="15" spans="1:3" x14ac:dyDescent="0.25">
      <c r="A15" s="56" t="s">
        <v>136</v>
      </c>
      <c r="B15" s="58">
        <v>382805</v>
      </c>
      <c r="C15" s="58">
        <v>195310</v>
      </c>
    </row>
    <row r="16" spans="1:3" x14ac:dyDescent="0.25">
      <c r="A16" s="56" t="s">
        <v>152</v>
      </c>
      <c r="B16" s="57"/>
      <c r="C16" s="57"/>
    </row>
    <row r="17" spans="1:3" x14ac:dyDescent="0.25">
      <c r="A17" s="53" t="s">
        <v>138</v>
      </c>
      <c r="B17" s="57"/>
      <c r="C17" s="57"/>
    </row>
    <row r="18" spans="1:3" x14ac:dyDescent="0.25">
      <c r="A18" s="53" t="s">
        <v>139</v>
      </c>
      <c r="B18" s="58">
        <v>18664</v>
      </c>
      <c r="C18" s="58">
        <v>14634</v>
      </c>
    </row>
    <row r="19" spans="1:3" x14ac:dyDescent="0.25">
      <c r="A19" s="53" t="s">
        <v>69</v>
      </c>
      <c r="B19" s="59">
        <v>15112</v>
      </c>
      <c r="C19" s="59">
        <v>5967</v>
      </c>
    </row>
    <row r="20" spans="1:3" x14ac:dyDescent="0.25">
      <c r="A20" s="53" t="s">
        <v>140</v>
      </c>
      <c r="B20" s="59">
        <v>2000</v>
      </c>
      <c r="C20" s="59">
        <v>3500</v>
      </c>
    </row>
    <row r="21" spans="1:3" x14ac:dyDescent="0.25">
      <c r="A21" s="53" t="s">
        <v>141</v>
      </c>
      <c r="B21" s="59">
        <v>35776</v>
      </c>
      <c r="C21" s="59">
        <v>24101</v>
      </c>
    </row>
    <row r="22" spans="1:3" x14ac:dyDescent="0.25">
      <c r="A22" s="53" t="s">
        <v>142</v>
      </c>
      <c r="B22" s="59">
        <v>60140</v>
      </c>
      <c r="C22" s="59">
        <v>20000</v>
      </c>
    </row>
    <row r="23" spans="1:3" x14ac:dyDescent="0.25">
      <c r="A23" s="53" t="s">
        <v>143</v>
      </c>
      <c r="B23" s="59">
        <v>190136</v>
      </c>
      <c r="C23" s="59">
        <v>335332</v>
      </c>
    </row>
    <row r="24" spans="1:3" x14ac:dyDescent="0.25">
      <c r="A24" s="53" t="s">
        <v>153</v>
      </c>
      <c r="B24" s="59">
        <v>107880</v>
      </c>
      <c r="C24" s="59">
        <v>0</v>
      </c>
    </row>
    <row r="25" spans="1:3" x14ac:dyDescent="0.25">
      <c r="A25" s="53" t="s">
        <v>144</v>
      </c>
      <c r="B25" s="59">
        <v>393932</v>
      </c>
      <c r="C25" s="59">
        <v>379433</v>
      </c>
    </row>
    <row r="26" spans="1:3" x14ac:dyDescent="0.25">
      <c r="A26" s="53" t="s">
        <v>170</v>
      </c>
      <c r="B26" s="57"/>
      <c r="C26" s="57"/>
    </row>
    <row r="27" spans="1:3" x14ac:dyDescent="0.25">
      <c r="A27" s="53" t="s">
        <v>155</v>
      </c>
      <c r="B27" s="57"/>
      <c r="C27" s="57"/>
    </row>
    <row r="28" spans="1:3" x14ac:dyDescent="0.25">
      <c r="A28" s="53" t="s">
        <v>156</v>
      </c>
      <c r="B28" s="59">
        <v>0</v>
      </c>
      <c r="C28" s="59">
        <v>-184123</v>
      </c>
    </row>
    <row r="29" spans="1:3" x14ac:dyDescent="0.25">
      <c r="A29" s="53" t="s">
        <v>171</v>
      </c>
      <c r="B29" s="59">
        <v>0</v>
      </c>
      <c r="C29" s="59">
        <v>0</v>
      </c>
    </row>
    <row r="30" spans="1:3" x14ac:dyDescent="0.25">
      <c r="A30" s="53" t="s">
        <v>172</v>
      </c>
      <c r="B30" s="59">
        <v>1</v>
      </c>
      <c r="C30" s="59">
        <v>0</v>
      </c>
    </row>
    <row r="31" spans="1:3" x14ac:dyDescent="0.25">
      <c r="A31" s="53" t="s">
        <v>173</v>
      </c>
      <c r="B31" s="59">
        <v>1</v>
      </c>
      <c r="C31" s="59">
        <v>0</v>
      </c>
    </row>
    <row r="32" spans="1:3" x14ac:dyDescent="0.25">
      <c r="A32" s="53" t="s">
        <v>160</v>
      </c>
      <c r="B32" s="59">
        <v>92149</v>
      </c>
      <c r="C32" s="59">
        <v>0</v>
      </c>
    </row>
    <row r="33" spans="1:3" x14ac:dyDescent="0.25">
      <c r="A33" s="53" t="s">
        <v>161</v>
      </c>
      <c r="B33" s="59">
        <v>-91296</v>
      </c>
      <c r="C33" s="59">
        <v>0</v>
      </c>
    </row>
    <row r="34" spans="1:3" x14ac:dyDescent="0.25">
      <c r="A34" s="53" t="s">
        <v>174</v>
      </c>
      <c r="B34" s="59">
        <v>855</v>
      </c>
      <c r="C34" s="59">
        <v>-184123</v>
      </c>
    </row>
    <row r="35" spans="1:3" x14ac:dyDescent="0.25">
      <c r="A35" s="53" t="s">
        <v>81</v>
      </c>
      <c r="B35" s="59">
        <v>-11982</v>
      </c>
      <c r="C35" s="59">
        <v>0</v>
      </c>
    </row>
    <row r="36" spans="1:3" x14ac:dyDescent="0.25">
      <c r="A36" s="53" t="s">
        <v>163</v>
      </c>
      <c r="B36" s="59">
        <v>-11127</v>
      </c>
      <c r="C36" s="59">
        <v>-184123</v>
      </c>
    </row>
    <row r="37" spans="1:3" x14ac:dyDescent="0.25">
      <c r="A37" s="56" t="s">
        <v>164</v>
      </c>
      <c r="B37" s="58">
        <v>382805</v>
      </c>
      <c r="C37" s="58">
        <v>195310</v>
      </c>
    </row>
    <row r="39" spans="1:3" x14ac:dyDescent="0.25">
      <c r="A39" s="60" t="s">
        <v>148</v>
      </c>
    </row>
  </sheetData>
  <hyperlinks>
    <hyperlink ref="A39" r:id="rId1" xr:uid="{00000000-0004-0000-1600-000000000000}"/>
  </hyperlinks>
  <pageMargins left="0.75" right="0.75" top="1" bottom="1" header="0.5" footer="0.5"/>
  <pageSetup orientation="portrait" verticalDpi="0"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4" tint="0.79998168889431442"/>
  </sheetPr>
  <dimension ref="A1:C41"/>
  <sheetViews>
    <sheetView workbookViewId="0"/>
  </sheetViews>
  <sheetFormatPr defaultRowHeight="15" x14ac:dyDescent="0.25"/>
  <cols>
    <col min="1" max="1" width="50.7109375" customWidth="1"/>
    <col min="2" max="3" width="15.7109375" customWidth="1"/>
  </cols>
  <sheetData>
    <row r="1" spans="1:3" x14ac:dyDescent="0.25">
      <c r="A1" s="53"/>
      <c r="B1" s="54" t="s">
        <v>129</v>
      </c>
      <c r="C1" s="54"/>
    </row>
    <row r="2" spans="1:3" x14ac:dyDescent="0.25">
      <c r="A2" s="53"/>
      <c r="B2" s="55">
        <v>2021</v>
      </c>
      <c r="C2" s="55">
        <v>2020</v>
      </c>
    </row>
    <row r="3" spans="1:3" x14ac:dyDescent="0.25">
      <c r="A3" s="56" t="s">
        <v>62</v>
      </c>
      <c r="B3" s="57"/>
      <c r="C3" s="57"/>
    </row>
    <row r="4" spans="1:3" x14ac:dyDescent="0.25">
      <c r="A4" s="53" t="s">
        <v>130</v>
      </c>
      <c r="B4" s="57"/>
      <c r="C4" s="57"/>
    </row>
    <row r="5" spans="1:3" x14ac:dyDescent="0.25">
      <c r="A5" s="53" t="s">
        <v>61</v>
      </c>
      <c r="B5" s="58">
        <v>5006</v>
      </c>
      <c r="C5" s="58">
        <v>10073</v>
      </c>
    </row>
    <row r="6" spans="1:3" x14ac:dyDescent="0.25">
      <c r="A6" s="53" t="s">
        <v>63</v>
      </c>
      <c r="B6" s="59">
        <v>31499</v>
      </c>
      <c r="C6" s="59">
        <v>27004</v>
      </c>
    </row>
    <row r="7" spans="1:3" x14ac:dyDescent="0.25">
      <c r="A7" s="53" t="s">
        <v>64</v>
      </c>
      <c r="B7" s="59">
        <v>13533</v>
      </c>
      <c r="C7" s="59">
        <v>3794</v>
      </c>
    </row>
    <row r="8" spans="1:3" x14ac:dyDescent="0.25">
      <c r="A8" s="53" t="s">
        <v>131</v>
      </c>
      <c r="B8" s="59">
        <v>38368</v>
      </c>
      <c r="C8" s="59">
        <v>15121</v>
      </c>
    </row>
    <row r="9" spans="1:3" x14ac:dyDescent="0.25">
      <c r="A9" s="53" t="s">
        <v>132</v>
      </c>
      <c r="B9" s="59">
        <v>5042</v>
      </c>
      <c r="C9" s="59">
        <v>155</v>
      </c>
    </row>
    <row r="10" spans="1:3" x14ac:dyDescent="0.25">
      <c r="A10" s="53" t="s">
        <v>133</v>
      </c>
      <c r="B10" s="59">
        <v>93448</v>
      </c>
      <c r="C10" s="59">
        <v>56147</v>
      </c>
    </row>
    <row r="11" spans="1:3" x14ac:dyDescent="0.25">
      <c r="A11" s="53" t="s">
        <v>134</v>
      </c>
      <c r="B11" s="59">
        <v>15574</v>
      </c>
      <c r="C11" s="59">
        <v>12763</v>
      </c>
    </row>
    <row r="12" spans="1:3" x14ac:dyDescent="0.25">
      <c r="A12" s="53" t="s">
        <v>66</v>
      </c>
      <c r="B12" s="59">
        <v>69436</v>
      </c>
      <c r="C12" s="59">
        <v>50176</v>
      </c>
    </row>
    <row r="13" spans="1:3" x14ac:dyDescent="0.25">
      <c r="A13" s="53" t="s">
        <v>135</v>
      </c>
      <c r="B13" s="59">
        <v>65236</v>
      </c>
      <c r="C13" s="59">
        <v>71988</v>
      </c>
    </row>
    <row r="14" spans="1:3" x14ac:dyDescent="0.25">
      <c r="A14" s="53" t="s">
        <v>67</v>
      </c>
      <c r="B14" s="59">
        <v>176958</v>
      </c>
      <c r="C14" s="59">
        <v>0</v>
      </c>
    </row>
    <row r="15" spans="1:3" x14ac:dyDescent="0.25">
      <c r="A15" s="53" t="s">
        <v>68</v>
      </c>
      <c r="B15" s="59">
        <v>5762</v>
      </c>
      <c r="C15" s="59">
        <v>4236</v>
      </c>
    </row>
    <row r="16" spans="1:3" x14ac:dyDescent="0.25">
      <c r="A16" s="56" t="s">
        <v>136</v>
      </c>
      <c r="B16" s="58">
        <v>426414</v>
      </c>
      <c r="C16" s="58">
        <v>195310</v>
      </c>
    </row>
    <row r="17" spans="1:3" x14ac:dyDescent="0.25">
      <c r="A17" s="56" t="s">
        <v>152</v>
      </c>
      <c r="B17" s="57"/>
      <c r="C17" s="57"/>
    </row>
    <row r="18" spans="1:3" x14ac:dyDescent="0.25">
      <c r="A18" s="53" t="s">
        <v>138</v>
      </c>
      <c r="B18" s="57"/>
      <c r="C18" s="57"/>
    </row>
    <row r="19" spans="1:3" x14ac:dyDescent="0.25">
      <c r="A19" s="53" t="s">
        <v>139</v>
      </c>
      <c r="B19" s="58">
        <v>19985</v>
      </c>
      <c r="C19" s="58">
        <v>14634</v>
      </c>
    </row>
    <row r="20" spans="1:3" x14ac:dyDescent="0.25">
      <c r="A20" s="53" t="s">
        <v>69</v>
      </c>
      <c r="B20" s="59">
        <v>9569</v>
      </c>
      <c r="C20" s="59">
        <v>5967</v>
      </c>
    </row>
    <row r="21" spans="1:3" x14ac:dyDescent="0.25">
      <c r="A21" s="53" t="s">
        <v>140</v>
      </c>
      <c r="B21" s="59">
        <v>2000</v>
      </c>
      <c r="C21" s="59">
        <v>3500</v>
      </c>
    </row>
    <row r="22" spans="1:3" x14ac:dyDescent="0.25">
      <c r="A22" s="53" t="s">
        <v>141</v>
      </c>
      <c r="B22" s="59">
        <v>31554</v>
      </c>
      <c r="C22" s="59">
        <v>24101</v>
      </c>
    </row>
    <row r="23" spans="1:3" x14ac:dyDescent="0.25">
      <c r="A23" s="53" t="s">
        <v>142</v>
      </c>
      <c r="B23" s="59">
        <v>55140</v>
      </c>
      <c r="C23" s="59">
        <v>20000</v>
      </c>
    </row>
    <row r="24" spans="1:3" x14ac:dyDescent="0.25">
      <c r="A24" s="53" t="s">
        <v>143</v>
      </c>
      <c r="B24" s="59">
        <v>189913</v>
      </c>
      <c r="C24" s="59">
        <v>335332</v>
      </c>
    </row>
    <row r="25" spans="1:3" x14ac:dyDescent="0.25">
      <c r="A25" s="53" t="s">
        <v>175</v>
      </c>
      <c r="B25" s="59">
        <v>156374</v>
      </c>
      <c r="C25" s="59">
        <v>0</v>
      </c>
    </row>
    <row r="26" spans="1:3" x14ac:dyDescent="0.25">
      <c r="A26" s="53" t="s">
        <v>176</v>
      </c>
      <c r="B26" s="59">
        <v>931</v>
      </c>
      <c r="C26" s="59">
        <v>0</v>
      </c>
    </row>
    <row r="27" spans="1:3" x14ac:dyDescent="0.25">
      <c r="A27" s="53" t="s">
        <v>144</v>
      </c>
      <c r="B27" s="59">
        <v>433912</v>
      </c>
      <c r="C27" s="59">
        <v>379433</v>
      </c>
    </row>
    <row r="28" spans="1:3" x14ac:dyDescent="0.25">
      <c r="A28" s="53" t="s">
        <v>170</v>
      </c>
      <c r="B28" s="57"/>
      <c r="C28" s="57"/>
    </row>
    <row r="29" spans="1:3" x14ac:dyDescent="0.25">
      <c r="A29" s="53" t="s">
        <v>155</v>
      </c>
      <c r="B29" s="57"/>
      <c r="C29" s="57"/>
    </row>
    <row r="30" spans="1:3" x14ac:dyDescent="0.25">
      <c r="A30" s="53" t="s">
        <v>156</v>
      </c>
      <c r="B30" s="59">
        <v>0</v>
      </c>
      <c r="C30" s="59">
        <v>-184123</v>
      </c>
    </row>
    <row r="31" spans="1:3" x14ac:dyDescent="0.25">
      <c r="A31" s="53" t="s">
        <v>177</v>
      </c>
      <c r="B31" s="59">
        <v>0</v>
      </c>
      <c r="C31" s="59">
        <v>0</v>
      </c>
    </row>
    <row r="32" spans="1:3" x14ac:dyDescent="0.25">
      <c r="A32" s="53" t="s">
        <v>178</v>
      </c>
      <c r="B32" s="59">
        <v>1</v>
      </c>
      <c r="C32" s="59">
        <v>0</v>
      </c>
    </row>
    <row r="33" spans="1:3" x14ac:dyDescent="0.25">
      <c r="A33" s="53" t="s">
        <v>179</v>
      </c>
      <c r="B33" s="59">
        <v>1</v>
      </c>
      <c r="C33" s="59">
        <v>0</v>
      </c>
    </row>
    <row r="34" spans="1:3" x14ac:dyDescent="0.25">
      <c r="A34" s="53" t="s">
        <v>160</v>
      </c>
      <c r="B34" s="59">
        <v>95684</v>
      </c>
      <c r="C34" s="59">
        <v>0</v>
      </c>
    </row>
    <row r="35" spans="1:3" x14ac:dyDescent="0.25">
      <c r="A35" s="53" t="s">
        <v>161</v>
      </c>
      <c r="B35" s="59">
        <v>-93133</v>
      </c>
      <c r="C35" s="59">
        <v>0</v>
      </c>
    </row>
    <row r="36" spans="1:3" x14ac:dyDescent="0.25">
      <c r="A36" s="53" t="s">
        <v>180</v>
      </c>
      <c r="B36" s="59">
        <v>2553</v>
      </c>
      <c r="C36" s="59">
        <v>-184123</v>
      </c>
    </row>
    <row r="37" spans="1:3" x14ac:dyDescent="0.25">
      <c r="A37" s="53" t="s">
        <v>81</v>
      </c>
      <c r="B37" s="59">
        <v>-10051</v>
      </c>
      <c r="C37" s="59">
        <v>0</v>
      </c>
    </row>
    <row r="38" spans="1:3" x14ac:dyDescent="0.25">
      <c r="A38" s="53" t="s">
        <v>163</v>
      </c>
      <c r="B38" s="59">
        <v>-7498</v>
      </c>
      <c r="C38" s="59">
        <v>-184123</v>
      </c>
    </row>
    <row r="39" spans="1:3" x14ac:dyDescent="0.25">
      <c r="A39" s="56" t="s">
        <v>164</v>
      </c>
      <c r="B39" s="58">
        <v>426414</v>
      </c>
      <c r="C39" s="58">
        <v>195310</v>
      </c>
    </row>
    <row r="41" spans="1:3" x14ac:dyDescent="0.25">
      <c r="A41" s="60" t="s">
        <v>148</v>
      </c>
    </row>
  </sheetData>
  <hyperlinks>
    <hyperlink ref="A41" r:id="rId1" xr:uid="{00000000-0004-0000-1700-000000000000}"/>
  </hyperlinks>
  <pageMargins left="0.75" right="0.75" top="1" bottom="1" header="0.5" footer="0.5"/>
  <pageSetup orientation="portrait" verticalDpi="0"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4" tint="0.79998168889431442"/>
  </sheetPr>
  <dimension ref="A1:C40"/>
  <sheetViews>
    <sheetView workbookViewId="0"/>
  </sheetViews>
  <sheetFormatPr defaultRowHeight="15" x14ac:dyDescent="0.25"/>
  <cols>
    <col min="1" max="1" width="50.7109375" customWidth="1"/>
    <col min="2" max="2" width="15.7109375" customWidth="1"/>
    <col min="3" max="3" width="18.5703125" bestFit="1" customWidth="1"/>
  </cols>
  <sheetData>
    <row r="1" spans="1:3" x14ac:dyDescent="0.25">
      <c r="A1" s="53"/>
      <c r="B1" s="55" t="s">
        <v>181</v>
      </c>
      <c r="C1" s="55" t="s">
        <v>182</v>
      </c>
    </row>
    <row r="2" spans="1:3" x14ac:dyDescent="0.25">
      <c r="A2" s="56" t="s">
        <v>62</v>
      </c>
      <c r="B2" s="57"/>
      <c r="C2" s="57"/>
    </row>
    <row r="3" spans="1:3" x14ac:dyDescent="0.25">
      <c r="A3" s="53" t="s">
        <v>130</v>
      </c>
      <c r="B3" s="57"/>
      <c r="C3" s="57"/>
    </row>
    <row r="4" spans="1:3" x14ac:dyDescent="0.25">
      <c r="A4" s="53" t="s">
        <v>61</v>
      </c>
      <c r="B4" s="58">
        <v>2534</v>
      </c>
      <c r="C4" s="58">
        <v>5006</v>
      </c>
    </row>
    <row r="5" spans="1:3" x14ac:dyDescent="0.25">
      <c r="A5" s="53" t="s">
        <v>63</v>
      </c>
      <c r="B5" s="59">
        <v>56887</v>
      </c>
      <c r="C5" s="59">
        <v>31499</v>
      </c>
    </row>
    <row r="6" spans="1:3" x14ac:dyDescent="0.25">
      <c r="A6" s="53" t="s">
        <v>64</v>
      </c>
      <c r="B6" s="59">
        <v>16149</v>
      </c>
      <c r="C6" s="59">
        <v>13533</v>
      </c>
    </row>
    <row r="7" spans="1:3" x14ac:dyDescent="0.25">
      <c r="A7" s="53" t="s">
        <v>131</v>
      </c>
      <c r="B7" s="59">
        <v>49479</v>
      </c>
      <c r="C7" s="59">
        <v>38368</v>
      </c>
    </row>
    <row r="8" spans="1:3" x14ac:dyDescent="0.25">
      <c r="A8" s="53" t="s">
        <v>132</v>
      </c>
      <c r="B8" s="59">
        <v>12651</v>
      </c>
      <c r="C8" s="59">
        <v>5042</v>
      </c>
    </row>
    <row r="9" spans="1:3" x14ac:dyDescent="0.25">
      <c r="A9" s="53" t="s">
        <v>133</v>
      </c>
      <c r="B9" s="59">
        <v>137700</v>
      </c>
      <c r="C9" s="59">
        <v>93448</v>
      </c>
    </row>
    <row r="10" spans="1:3" x14ac:dyDescent="0.25">
      <c r="A10" s="53" t="s">
        <v>134</v>
      </c>
      <c r="B10" s="59">
        <v>16032</v>
      </c>
      <c r="C10" s="59">
        <v>15574</v>
      </c>
    </row>
    <row r="11" spans="1:3" x14ac:dyDescent="0.25">
      <c r="A11" s="53" t="s">
        <v>66</v>
      </c>
      <c r="B11" s="59">
        <v>69436</v>
      </c>
      <c r="C11" s="59">
        <v>69436</v>
      </c>
    </row>
    <row r="12" spans="1:3" x14ac:dyDescent="0.25">
      <c r="A12" s="53" t="s">
        <v>135</v>
      </c>
      <c r="B12" s="59">
        <v>62966</v>
      </c>
      <c r="C12" s="59">
        <v>65236</v>
      </c>
    </row>
    <row r="13" spans="1:3" x14ac:dyDescent="0.25">
      <c r="A13" s="53" t="s">
        <v>67</v>
      </c>
      <c r="B13" s="59">
        <v>175539</v>
      </c>
      <c r="C13" s="59">
        <v>176958</v>
      </c>
    </row>
    <row r="14" spans="1:3" x14ac:dyDescent="0.25">
      <c r="A14" s="53" t="s">
        <v>68</v>
      </c>
      <c r="B14" s="59">
        <v>12799</v>
      </c>
      <c r="C14" s="59">
        <v>5762</v>
      </c>
    </row>
    <row r="15" spans="1:3" x14ac:dyDescent="0.25">
      <c r="A15" s="56" t="s">
        <v>136</v>
      </c>
      <c r="B15" s="58">
        <v>474472</v>
      </c>
      <c r="C15" s="58">
        <v>426414</v>
      </c>
    </row>
    <row r="16" spans="1:3" x14ac:dyDescent="0.25">
      <c r="A16" s="56" t="s">
        <v>183</v>
      </c>
      <c r="B16" s="57"/>
      <c r="C16" s="57"/>
    </row>
    <row r="17" spans="1:3" x14ac:dyDescent="0.25">
      <c r="A17" s="53" t="s">
        <v>138</v>
      </c>
      <c r="B17" s="57"/>
      <c r="C17" s="57"/>
    </row>
    <row r="18" spans="1:3" x14ac:dyDescent="0.25">
      <c r="A18" s="53" t="s">
        <v>139</v>
      </c>
      <c r="B18" s="58">
        <v>17879</v>
      </c>
      <c r="C18" s="58">
        <v>19985</v>
      </c>
    </row>
    <row r="19" spans="1:3" x14ac:dyDescent="0.25">
      <c r="A19" s="53" t="s">
        <v>69</v>
      </c>
      <c r="B19" s="59">
        <v>14764</v>
      </c>
      <c r="C19" s="59">
        <v>9569</v>
      </c>
    </row>
    <row r="20" spans="1:3" x14ac:dyDescent="0.25">
      <c r="A20" s="53" t="s">
        <v>184</v>
      </c>
      <c r="B20" s="59">
        <v>4065</v>
      </c>
      <c r="C20" s="59">
        <v>0</v>
      </c>
    </row>
    <row r="21" spans="1:3" x14ac:dyDescent="0.25">
      <c r="A21" s="53" t="s">
        <v>140</v>
      </c>
      <c r="B21" s="59">
        <v>2000</v>
      </c>
      <c r="C21" s="59">
        <v>2000</v>
      </c>
    </row>
    <row r="22" spans="1:3" x14ac:dyDescent="0.25">
      <c r="A22" s="53" t="s">
        <v>141</v>
      </c>
      <c r="B22" s="59">
        <v>38708</v>
      </c>
      <c r="C22" s="59">
        <v>31554</v>
      </c>
    </row>
    <row r="23" spans="1:3" x14ac:dyDescent="0.25">
      <c r="A23" s="53" t="s">
        <v>142</v>
      </c>
      <c r="B23" s="59">
        <v>90140</v>
      </c>
      <c r="C23" s="59">
        <v>55140</v>
      </c>
    </row>
    <row r="24" spans="1:3" x14ac:dyDescent="0.25">
      <c r="A24" s="53" t="s">
        <v>143</v>
      </c>
      <c r="B24" s="59">
        <v>189689</v>
      </c>
      <c r="C24" s="59">
        <v>189913</v>
      </c>
    </row>
    <row r="25" spans="1:3" x14ac:dyDescent="0.25">
      <c r="A25" s="53" t="s">
        <v>185</v>
      </c>
      <c r="B25" s="59">
        <v>152309</v>
      </c>
      <c r="C25" s="59">
        <v>156374</v>
      </c>
    </row>
    <row r="26" spans="1:3" x14ac:dyDescent="0.25">
      <c r="A26" s="53" t="s">
        <v>176</v>
      </c>
      <c r="B26" s="59">
        <v>5074</v>
      </c>
      <c r="C26" s="59">
        <v>931</v>
      </c>
    </row>
    <row r="27" spans="1:3" x14ac:dyDescent="0.25">
      <c r="A27" s="53" t="s">
        <v>144</v>
      </c>
      <c r="B27" s="59">
        <v>475920</v>
      </c>
      <c r="C27" s="59">
        <v>433912</v>
      </c>
    </row>
    <row r="28" spans="1:3" x14ac:dyDescent="0.25">
      <c r="A28" s="53" t="s">
        <v>186</v>
      </c>
      <c r="B28" s="57"/>
      <c r="C28" s="57"/>
    </row>
    <row r="29" spans="1:3" x14ac:dyDescent="0.25">
      <c r="A29" s="53" t="s">
        <v>187</v>
      </c>
      <c r="B29" s="57"/>
      <c r="C29" s="57"/>
    </row>
    <row r="30" spans="1:3" x14ac:dyDescent="0.25">
      <c r="A30" s="53" t="s">
        <v>188</v>
      </c>
      <c r="B30" s="59">
        <v>0</v>
      </c>
      <c r="C30" s="59">
        <v>0</v>
      </c>
    </row>
    <row r="31" spans="1:3" x14ac:dyDescent="0.25">
      <c r="A31" s="53" t="s">
        <v>189</v>
      </c>
      <c r="B31" s="59">
        <v>1</v>
      </c>
      <c r="C31" s="59">
        <v>1</v>
      </c>
    </row>
    <row r="32" spans="1:3" x14ac:dyDescent="0.25">
      <c r="A32" s="53" t="s">
        <v>190</v>
      </c>
      <c r="B32" s="59">
        <v>1</v>
      </c>
      <c r="C32" s="59">
        <v>1</v>
      </c>
    </row>
    <row r="33" spans="1:3" x14ac:dyDescent="0.25">
      <c r="A33" s="53" t="s">
        <v>160</v>
      </c>
      <c r="B33" s="59">
        <v>98376</v>
      </c>
      <c r="C33" s="59">
        <v>95684</v>
      </c>
    </row>
    <row r="34" spans="1:3" x14ac:dyDescent="0.25">
      <c r="A34" s="53" t="s">
        <v>161</v>
      </c>
      <c r="B34" s="59">
        <v>-90493</v>
      </c>
      <c r="C34" s="59">
        <v>-93133</v>
      </c>
    </row>
    <row r="35" spans="1:3" x14ac:dyDescent="0.25">
      <c r="A35" s="53" t="s">
        <v>191</v>
      </c>
      <c r="B35" s="59">
        <v>7885</v>
      </c>
      <c r="C35" s="59">
        <v>2553</v>
      </c>
    </row>
    <row r="36" spans="1:3" x14ac:dyDescent="0.25">
      <c r="A36" s="53" t="s">
        <v>81</v>
      </c>
      <c r="B36" s="59">
        <v>-9333</v>
      </c>
      <c r="C36" s="59">
        <v>-10051</v>
      </c>
    </row>
    <row r="37" spans="1:3" x14ac:dyDescent="0.25">
      <c r="A37" s="53" t="s">
        <v>192</v>
      </c>
      <c r="B37" s="59">
        <v>-1448</v>
      </c>
      <c r="C37" s="59">
        <v>-7498</v>
      </c>
    </row>
    <row r="38" spans="1:3" x14ac:dyDescent="0.25">
      <c r="A38" s="56" t="s">
        <v>193</v>
      </c>
      <c r="B38" s="58">
        <v>474472</v>
      </c>
      <c r="C38" s="58">
        <v>426414</v>
      </c>
    </row>
    <row r="40" spans="1:3" x14ac:dyDescent="0.25">
      <c r="A40" s="60" t="s">
        <v>148</v>
      </c>
    </row>
  </sheetData>
  <hyperlinks>
    <hyperlink ref="A40" r:id="rId1" xr:uid="{00000000-0004-0000-1800-000000000000}"/>
  </hyperlinks>
  <pageMargins left="0.75" right="0.75" top="1" bottom="1" header="0.5" footer="0.5"/>
  <pageSetup orientation="portrait" verticalDpi="0"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4" tint="0.79998168889431442"/>
  </sheetPr>
  <dimension ref="A1:C40"/>
  <sheetViews>
    <sheetView workbookViewId="0"/>
  </sheetViews>
  <sheetFormatPr defaultRowHeight="15" x14ac:dyDescent="0.25"/>
  <cols>
    <col min="1" max="1" width="50.7109375" customWidth="1"/>
    <col min="2" max="3" width="15.7109375" customWidth="1"/>
  </cols>
  <sheetData>
    <row r="1" spans="1:3" x14ac:dyDescent="0.25">
      <c r="A1" s="53"/>
      <c r="B1" s="55" t="s">
        <v>194</v>
      </c>
      <c r="C1" s="55" t="s">
        <v>182</v>
      </c>
    </row>
    <row r="2" spans="1:3" x14ac:dyDescent="0.25">
      <c r="A2" s="56" t="s">
        <v>62</v>
      </c>
      <c r="B2" s="57"/>
      <c r="C2" s="57"/>
    </row>
    <row r="3" spans="1:3" x14ac:dyDescent="0.25">
      <c r="A3" s="53" t="s">
        <v>130</v>
      </c>
      <c r="B3" s="57"/>
      <c r="C3" s="57"/>
    </row>
    <row r="4" spans="1:3" x14ac:dyDescent="0.25">
      <c r="A4" s="53" t="s">
        <v>61</v>
      </c>
      <c r="B4" s="70">
        <v>10094</v>
      </c>
      <c r="C4" s="58">
        <v>5006</v>
      </c>
    </row>
    <row r="5" spans="1:3" x14ac:dyDescent="0.25">
      <c r="A5" s="53" t="s">
        <v>63</v>
      </c>
      <c r="B5" s="59">
        <v>57827</v>
      </c>
      <c r="C5" s="59">
        <v>31499</v>
      </c>
    </row>
    <row r="6" spans="1:3" x14ac:dyDescent="0.25">
      <c r="A6" s="53" t="s">
        <v>64</v>
      </c>
      <c r="B6" s="59">
        <v>14580</v>
      </c>
      <c r="C6" s="59">
        <v>13533</v>
      </c>
    </row>
    <row r="7" spans="1:3" x14ac:dyDescent="0.25">
      <c r="A7" s="53" t="s">
        <v>131</v>
      </c>
      <c r="B7" s="59">
        <v>64961</v>
      </c>
      <c r="C7" s="59">
        <v>38368</v>
      </c>
    </row>
    <row r="8" spans="1:3" x14ac:dyDescent="0.25">
      <c r="A8" s="53" t="s">
        <v>132</v>
      </c>
      <c r="B8" s="59">
        <v>8827</v>
      </c>
      <c r="C8" s="59">
        <v>5042</v>
      </c>
    </row>
    <row r="9" spans="1:3" x14ac:dyDescent="0.25">
      <c r="A9" s="53" t="s">
        <v>133</v>
      </c>
      <c r="B9" s="59">
        <v>156289</v>
      </c>
      <c r="C9" s="59">
        <v>93448</v>
      </c>
    </row>
    <row r="10" spans="1:3" x14ac:dyDescent="0.25">
      <c r="A10" s="53" t="s">
        <v>134</v>
      </c>
      <c r="B10" s="59">
        <v>16830</v>
      </c>
      <c r="C10" s="59">
        <v>15574</v>
      </c>
    </row>
    <row r="11" spans="1:3" x14ac:dyDescent="0.25">
      <c r="A11" s="53" t="s">
        <v>66</v>
      </c>
      <c r="B11" s="59">
        <v>69941</v>
      </c>
      <c r="C11" s="59">
        <v>69436</v>
      </c>
    </row>
    <row r="12" spans="1:3" x14ac:dyDescent="0.25">
      <c r="A12" s="53" t="s">
        <v>135</v>
      </c>
      <c r="B12" s="59">
        <v>60727</v>
      </c>
      <c r="C12" s="59">
        <v>65236</v>
      </c>
    </row>
    <row r="13" spans="1:3" x14ac:dyDescent="0.25">
      <c r="A13" s="53" t="s">
        <v>67</v>
      </c>
      <c r="B13" s="59">
        <v>175059</v>
      </c>
      <c r="C13" s="59">
        <v>176958</v>
      </c>
    </row>
    <row r="14" spans="1:3" x14ac:dyDescent="0.25">
      <c r="A14" s="53" t="s">
        <v>68</v>
      </c>
      <c r="B14" s="59">
        <v>17771</v>
      </c>
      <c r="C14" s="59">
        <v>5762</v>
      </c>
    </row>
    <row r="15" spans="1:3" x14ac:dyDescent="0.25">
      <c r="A15" s="56" t="s">
        <v>136</v>
      </c>
      <c r="B15" s="58">
        <v>496617</v>
      </c>
      <c r="C15" s="58">
        <v>426414</v>
      </c>
    </row>
    <row r="16" spans="1:3" x14ac:dyDescent="0.25">
      <c r="A16" s="56" t="s">
        <v>195</v>
      </c>
      <c r="B16" s="57"/>
      <c r="C16" s="57"/>
    </row>
    <row r="17" spans="1:3" x14ac:dyDescent="0.25">
      <c r="A17" s="53" t="s">
        <v>138</v>
      </c>
      <c r="B17" s="57"/>
      <c r="C17" s="57"/>
    </row>
    <row r="18" spans="1:3" x14ac:dyDescent="0.25">
      <c r="A18" s="53" t="s">
        <v>139</v>
      </c>
      <c r="B18" s="58">
        <v>24258</v>
      </c>
      <c r="C18" s="58">
        <v>19985</v>
      </c>
    </row>
    <row r="19" spans="1:3" x14ac:dyDescent="0.25">
      <c r="A19" s="53" t="s">
        <v>196</v>
      </c>
      <c r="B19" s="59">
        <v>25297</v>
      </c>
      <c r="C19" s="59">
        <v>9569</v>
      </c>
    </row>
    <row r="20" spans="1:3" x14ac:dyDescent="0.25">
      <c r="A20" s="53" t="s">
        <v>184</v>
      </c>
      <c r="B20" s="59">
        <v>3583</v>
      </c>
      <c r="C20" s="59">
        <v>0</v>
      </c>
    </row>
    <row r="21" spans="1:3" x14ac:dyDescent="0.25">
      <c r="A21" s="53" t="s">
        <v>140</v>
      </c>
      <c r="B21" s="59">
        <v>2000</v>
      </c>
      <c r="C21" s="59">
        <v>2000</v>
      </c>
    </row>
    <row r="22" spans="1:3" x14ac:dyDescent="0.25">
      <c r="A22" s="53" t="s">
        <v>141</v>
      </c>
      <c r="B22" s="59">
        <v>55138</v>
      </c>
      <c r="C22" s="59">
        <v>31554</v>
      </c>
    </row>
    <row r="23" spans="1:3" x14ac:dyDescent="0.25">
      <c r="A23" s="53" t="s">
        <v>142</v>
      </c>
      <c r="B23" s="59">
        <v>85140</v>
      </c>
      <c r="C23" s="59">
        <v>55140</v>
      </c>
    </row>
    <row r="24" spans="1:3" x14ac:dyDescent="0.25">
      <c r="A24" s="53" t="s">
        <v>143</v>
      </c>
      <c r="B24" s="71">
        <v>189515</v>
      </c>
      <c r="C24" s="59">
        <v>189913</v>
      </c>
    </row>
    <row r="25" spans="1:3" x14ac:dyDescent="0.25">
      <c r="A25" s="53" t="s">
        <v>185</v>
      </c>
      <c r="B25" s="59">
        <v>153591</v>
      </c>
      <c r="C25" s="59">
        <v>156374</v>
      </c>
    </row>
    <row r="26" spans="1:3" x14ac:dyDescent="0.25">
      <c r="A26" s="53" t="s">
        <v>176</v>
      </c>
      <c r="B26" s="59">
        <v>4793</v>
      </c>
      <c r="C26" s="59">
        <v>931</v>
      </c>
    </row>
    <row r="27" spans="1:3" x14ac:dyDescent="0.25">
      <c r="A27" s="53" t="s">
        <v>144</v>
      </c>
      <c r="B27" s="59">
        <v>488177</v>
      </c>
      <c r="C27" s="59">
        <v>433912</v>
      </c>
    </row>
    <row r="28" spans="1:3" x14ac:dyDescent="0.25">
      <c r="A28" s="53" t="s">
        <v>197</v>
      </c>
      <c r="B28" s="57"/>
      <c r="C28" s="57"/>
    </row>
    <row r="29" spans="1:3" x14ac:dyDescent="0.25">
      <c r="A29" s="53" t="s">
        <v>198</v>
      </c>
      <c r="B29" s="57"/>
      <c r="C29" s="57"/>
    </row>
    <row r="30" spans="1:3" x14ac:dyDescent="0.25">
      <c r="A30" s="53" t="s">
        <v>199</v>
      </c>
      <c r="B30" s="59">
        <v>0</v>
      </c>
      <c r="C30" s="59">
        <v>0</v>
      </c>
    </row>
    <row r="31" spans="1:3" x14ac:dyDescent="0.25">
      <c r="A31" s="53" t="s">
        <v>200</v>
      </c>
      <c r="B31" s="59">
        <v>1</v>
      </c>
      <c r="C31" s="59">
        <v>1</v>
      </c>
    </row>
    <row r="32" spans="1:3" x14ac:dyDescent="0.25">
      <c r="A32" s="53" t="s">
        <v>201</v>
      </c>
      <c r="B32" s="59">
        <v>1</v>
      </c>
      <c r="C32" s="59">
        <v>1</v>
      </c>
    </row>
    <row r="33" spans="1:3" x14ac:dyDescent="0.25">
      <c r="A33" s="53" t="s">
        <v>160</v>
      </c>
      <c r="B33" s="59">
        <v>101243</v>
      </c>
      <c r="C33" s="59">
        <v>95684</v>
      </c>
    </row>
    <row r="34" spans="1:3" x14ac:dyDescent="0.25">
      <c r="A34" s="53" t="s">
        <v>161</v>
      </c>
      <c r="B34" s="59">
        <v>-86091</v>
      </c>
      <c r="C34" s="59">
        <v>-93133</v>
      </c>
    </row>
    <row r="35" spans="1:3" x14ac:dyDescent="0.25">
      <c r="A35" s="53" t="s">
        <v>191</v>
      </c>
      <c r="B35" s="59">
        <v>15154</v>
      </c>
      <c r="C35" s="59">
        <v>2553</v>
      </c>
    </row>
    <row r="36" spans="1:3" x14ac:dyDescent="0.25">
      <c r="A36" s="53" t="s">
        <v>81</v>
      </c>
      <c r="B36" s="59">
        <v>-6714</v>
      </c>
      <c r="C36" s="59">
        <v>-10051</v>
      </c>
    </row>
    <row r="37" spans="1:3" x14ac:dyDescent="0.25">
      <c r="A37" s="53" t="s">
        <v>202</v>
      </c>
      <c r="B37" s="59">
        <v>8440</v>
      </c>
      <c r="C37" s="59">
        <v>-7498</v>
      </c>
    </row>
    <row r="38" spans="1:3" x14ac:dyDescent="0.25">
      <c r="A38" s="56" t="s">
        <v>203</v>
      </c>
      <c r="B38" s="58">
        <v>496617</v>
      </c>
      <c r="C38" s="58">
        <v>426414</v>
      </c>
    </row>
    <row r="40" spans="1:3" x14ac:dyDescent="0.25">
      <c r="A40" s="60" t="s">
        <v>148</v>
      </c>
    </row>
  </sheetData>
  <hyperlinks>
    <hyperlink ref="A40" r:id="rId1" xr:uid="{00000000-0004-0000-1900-000000000000}"/>
  </hyperlinks>
  <pageMargins left="0.75" right="0.75" top="1" bottom="1" header="0.5" footer="0.5"/>
  <pageSetup orientation="portrait" verticalDpi="0"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5" tint="0.79998168889431442"/>
  </sheetPr>
  <dimension ref="K4"/>
  <sheetViews>
    <sheetView workbookViewId="0"/>
  </sheetViews>
  <sheetFormatPr defaultRowHeight="15" x14ac:dyDescent="0.25"/>
  <sheetData>
    <row r="4" spans="11:11" x14ac:dyDescent="0.25">
      <c r="K4" s="1"/>
    </row>
  </sheetData>
  <pageMargins left="0.7" right="0.7" top="0.75" bottom="0.75" header="0.3" footer="0.3"/>
  <pageSetup orientation="portrait" verticalDpi="0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5" tint="0.79998168889431442"/>
  </sheetPr>
  <dimension ref="A1:D44"/>
  <sheetViews>
    <sheetView workbookViewId="0"/>
  </sheetViews>
  <sheetFormatPr defaultRowHeight="15" x14ac:dyDescent="0.25"/>
  <cols>
    <col min="1" max="1" width="50.7109375" customWidth="1"/>
    <col min="2" max="4" width="15.7109375" customWidth="1"/>
  </cols>
  <sheetData>
    <row r="1" spans="1:4" x14ac:dyDescent="0.25">
      <c r="A1" s="53"/>
      <c r="B1" s="54" t="s">
        <v>204</v>
      </c>
      <c r="C1" s="54"/>
      <c r="D1" s="54"/>
    </row>
    <row r="2" spans="1:4" x14ac:dyDescent="0.25">
      <c r="A2" s="53"/>
      <c r="B2" s="55">
        <v>2020</v>
      </c>
      <c r="C2" s="55">
        <v>2019</v>
      </c>
      <c r="D2" s="55">
        <v>2018</v>
      </c>
    </row>
    <row r="3" spans="1:4" x14ac:dyDescent="0.25">
      <c r="A3" s="56" t="s">
        <v>205</v>
      </c>
      <c r="B3" s="57"/>
      <c r="C3" s="57"/>
      <c r="D3" s="57"/>
    </row>
    <row r="4" spans="1:4" x14ac:dyDescent="0.25">
      <c r="A4" s="53" t="s">
        <v>206</v>
      </c>
      <c r="B4" s="58">
        <v>33766</v>
      </c>
      <c r="C4" s="58">
        <v>25143</v>
      </c>
      <c r="D4" s="58">
        <v>8647</v>
      </c>
    </row>
    <row r="5" spans="1:4" x14ac:dyDescent="0.25">
      <c r="A5" s="53" t="s">
        <v>207</v>
      </c>
      <c r="B5" s="57"/>
      <c r="C5" s="57"/>
      <c r="D5" s="57"/>
    </row>
    <row r="6" spans="1:4" x14ac:dyDescent="0.25">
      <c r="A6" s="53" t="s">
        <v>208</v>
      </c>
      <c r="B6" s="59">
        <v>351</v>
      </c>
      <c r="C6" s="59">
        <v>38</v>
      </c>
      <c r="D6" s="59">
        <v>38</v>
      </c>
    </row>
    <row r="7" spans="1:4" x14ac:dyDescent="0.25">
      <c r="A7" s="53" t="s">
        <v>209</v>
      </c>
      <c r="B7" s="59">
        <v>9405</v>
      </c>
      <c r="C7" s="59">
        <v>9163</v>
      </c>
      <c r="D7" s="59">
        <v>8990</v>
      </c>
    </row>
    <row r="8" spans="1:4" x14ac:dyDescent="0.25">
      <c r="A8" s="53" t="s">
        <v>210</v>
      </c>
      <c r="B8" s="59">
        <v>8251</v>
      </c>
      <c r="C8" s="59">
        <v>0</v>
      </c>
      <c r="D8" s="59">
        <v>0</v>
      </c>
    </row>
    <row r="9" spans="1:4" x14ac:dyDescent="0.25">
      <c r="A9" s="53" t="s">
        <v>211</v>
      </c>
      <c r="B9" s="59">
        <v>188</v>
      </c>
      <c r="C9" s="59">
        <v>301</v>
      </c>
      <c r="D9" s="59">
        <v>-40</v>
      </c>
    </row>
    <row r="10" spans="1:4" x14ac:dyDescent="0.25">
      <c r="A10" s="53" t="s">
        <v>212</v>
      </c>
      <c r="B10" s="57"/>
      <c r="C10" s="57"/>
      <c r="D10" s="57"/>
    </row>
    <row r="11" spans="1:4" x14ac:dyDescent="0.25">
      <c r="A11" s="53" t="s">
        <v>213</v>
      </c>
      <c r="B11" s="59">
        <v>288</v>
      </c>
      <c r="C11" s="59">
        <v>-473</v>
      </c>
      <c r="D11" s="59">
        <v>-9838</v>
      </c>
    </row>
    <row r="12" spans="1:4" x14ac:dyDescent="0.25">
      <c r="A12" s="53" t="s">
        <v>64</v>
      </c>
      <c r="B12" s="59">
        <v>-1289</v>
      </c>
      <c r="C12" s="59">
        <v>-1345</v>
      </c>
      <c r="D12" s="59">
        <v>0</v>
      </c>
    </row>
    <row r="13" spans="1:4" x14ac:dyDescent="0.25">
      <c r="A13" s="53" t="s">
        <v>214</v>
      </c>
      <c r="B13" s="59">
        <v>-6475</v>
      </c>
      <c r="C13" s="59">
        <v>-694</v>
      </c>
      <c r="D13" s="59">
        <v>-4447</v>
      </c>
    </row>
    <row r="14" spans="1:4" x14ac:dyDescent="0.25">
      <c r="A14" s="53" t="s">
        <v>132</v>
      </c>
      <c r="B14" s="59">
        <v>643</v>
      </c>
      <c r="C14" s="59">
        <v>137</v>
      </c>
      <c r="D14" s="59">
        <v>-276</v>
      </c>
    </row>
    <row r="15" spans="1:4" x14ac:dyDescent="0.25">
      <c r="A15" s="53" t="s">
        <v>139</v>
      </c>
      <c r="B15" s="59">
        <v>4251</v>
      </c>
      <c r="C15" s="59">
        <v>4195</v>
      </c>
      <c r="D15" s="59">
        <v>-656</v>
      </c>
    </row>
    <row r="16" spans="1:4" x14ac:dyDescent="0.25">
      <c r="A16" s="53" t="s">
        <v>69</v>
      </c>
      <c r="B16" s="59">
        <v>4703</v>
      </c>
      <c r="C16" s="59">
        <v>-283</v>
      </c>
      <c r="D16" s="59">
        <v>583</v>
      </c>
    </row>
    <row r="17" spans="1:4" x14ac:dyDescent="0.25">
      <c r="A17" s="56" t="s">
        <v>215</v>
      </c>
      <c r="B17" s="59">
        <v>54082</v>
      </c>
      <c r="C17" s="59">
        <v>36182</v>
      </c>
      <c r="D17" s="59">
        <v>3001</v>
      </c>
    </row>
    <row r="18" spans="1:4" x14ac:dyDescent="0.25">
      <c r="A18" s="56" t="s">
        <v>216</v>
      </c>
      <c r="B18" s="57"/>
      <c r="C18" s="57"/>
      <c r="D18" s="57"/>
    </row>
    <row r="19" spans="1:4" x14ac:dyDescent="0.25">
      <c r="A19" s="53" t="s">
        <v>217</v>
      </c>
      <c r="B19" s="59">
        <v>-3236</v>
      </c>
      <c r="C19" s="59">
        <v>-1719</v>
      </c>
      <c r="D19" s="59">
        <v>-1405</v>
      </c>
    </row>
    <row r="20" spans="1:4" x14ac:dyDescent="0.25">
      <c r="A20" s="56" t="s">
        <v>218</v>
      </c>
      <c r="B20" s="59">
        <v>-3236</v>
      </c>
      <c r="C20" s="59">
        <v>-1719</v>
      </c>
      <c r="D20" s="59">
        <v>-1405</v>
      </c>
    </row>
    <row r="21" spans="1:4" x14ac:dyDescent="0.25">
      <c r="A21" s="56" t="s">
        <v>219</v>
      </c>
      <c r="B21" s="57"/>
      <c r="C21" s="57"/>
      <c r="D21" s="57"/>
    </row>
    <row r="22" spans="1:4" x14ac:dyDescent="0.25">
      <c r="A22" s="53" t="s">
        <v>220</v>
      </c>
      <c r="B22" s="59">
        <v>-376046</v>
      </c>
      <c r="C22" s="59">
        <v>-13989</v>
      </c>
      <c r="D22" s="59">
        <v>-10661</v>
      </c>
    </row>
    <row r="23" spans="1:4" x14ac:dyDescent="0.25">
      <c r="A23" s="53" t="s">
        <v>221</v>
      </c>
      <c r="B23" s="59">
        <v>350000</v>
      </c>
      <c r="C23" s="59">
        <v>0</v>
      </c>
      <c r="D23" s="59">
        <v>0</v>
      </c>
    </row>
    <row r="24" spans="1:4" x14ac:dyDescent="0.25">
      <c r="A24" s="53" t="s">
        <v>222</v>
      </c>
      <c r="B24" s="59">
        <v>-11821</v>
      </c>
      <c r="C24" s="59">
        <v>0</v>
      </c>
      <c r="D24" s="59">
        <v>0</v>
      </c>
    </row>
    <row r="25" spans="1:4" x14ac:dyDescent="0.25">
      <c r="A25" s="53" t="s">
        <v>223</v>
      </c>
      <c r="B25" s="59">
        <v>-3738</v>
      </c>
      <c r="C25" s="59">
        <v>0</v>
      </c>
      <c r="D25" s="59">
        <v>0</v>
      </c>
    </row>
    <row r="26" spans="1:4" x14ac:dyDescent="0.25">
      <c r="A26" s="53" t="s">
        <v>224</v>
      </c>
      <c r="B26" s="59">
        <v>20000</v>
      </c>
      <c r="C26" s="59">
        <v>0</v>
      </c>
      <c r="D26" s="59">
        <v>0</v>
      </c>
    </row>
    <row r="27" spans="1:4" x14ac:dyDescent="0.25">
      <c r="A27" s="53" t="s">
        <v>225</v>
      </c>
      <c r="B27" s="59">
        <v>20000</v>
      </c>
      <c r="C27" s="59">
        <v>0</v>
      </c>
      <c r="D27" s="59">
        <v>0</v>
      </c>
    </row>
    <row r="28" spans="1:4" x14ac:dyDescent="0.25">
      <c r="A28" s="53" t="s">
        <v>226</v>
      </c>
      <c r="B28" s="59">
        <v>-20000</v>
      </c>
      <c r="C28" s="59">
        <v>0</v>
      </c>
      <c r="D28" s="59">
        <v>0</v>
      </c>
    </row>
    <row r="29" spans="1:4" x14ac:dyDescent="0.25">
      <c r="A29" s="53" t="s">
        <v>227</v>
      </c>
      <c r="B29" s="59">
        <v>-26250</v>
      </c>
      <c r="C29" s="59">
        <v>-3500</v>
      </c>
      <c r="D29" s="59">
        <v>-3500</v>
      </c>
    </row>
    <row r="30" spans="1:4" x14ac:dyDescent="0.25">
      <c r="A30" s="53" t="s">
        <v>228</v>
      </c>
      <c r="B30" s="59">
        <v>0</v>
      </c>
      <c r="C30" s="59">
        <v>-12500</v>
      </c>
      <c r="D30" s="59">
        <v>0</v>
      </c>
    </row>
    <row r="31" spans="1:4" x14ac:dyDescent="0.25">
      <c r="A31" s="53" t="s">
        <v>229</v>
      </c>
      <c r="B31" s="59">
        <v>0</v>
      </c>
      <c r="C31" s="59">
        <v>2500</v>
      </c>
      <c r="D31" s="59">
        <v>10000</v>
      </c>
    </row>
    <row r="32" spans="1:4" x14ac:dyDescent="0.25">
      <c r="A32" s="53" t="s">
        <v>230</v>
      </c>
      <c r="B32" s="59">
        <v>0</v>
      </c>
      <c r="C32" s="59">
        <v>0</v>
      </c>
      <c r="D32" s="59">
        <v>-15000</v>
      </c>
    </row>
    <row r="33" spans="1:4" x14ac:dyDescent="0.25">
      <c r="A33" s="56" t="s">
        <v>231</v>
      </c>
      <c r="B33" s="59">
        <v>-47855</v>
      </c>
      <c r="C33" s="59">
        <v>-27489</v>
      </c>
      <c r="D33" s="59">
        <v>-19161</v>
      </c>
    </row>
    <row r="34" spans="1:4" x14ac:dyDescent="0.25">
      <c r="A34" s="56" t="s">
        <v>232</v>
      </c>
      <c r="B34" s="59">
        <v>2991</v>
      </c>
      <c r="C34" s="59">
        <v>6974</v>
      </c>
      <c r="D34" s="59">
        <v>-17565</v>
      </c>
    </row>
    <row r="35" spans="1:4" x14ac:dyDescent="0.25">
      <c r="A35" s="56" t="s">
        <v>233</v>
      </c>
      <c r="B35" s="59">
        <v>7082</v>
      </c>
      <c r="C35" s="59">
        <v>108</v>
      </c>
      <c r="D35" s="59">
        <v>17673</v>
      </c>
    </row>
    <row r="36" spans="1:4" x14ac:dyDescent="0.25">
      <c r="A36" s="56" t="s">
        <v>234</v>
      </c>
      <c r="B36" s="58">
        <v>10073</v>
      </c>
      <c r="C36" s="58">
        <v>7082</v>
      </c>
      <c r="D36" s="58">
        <v>108</v>
      </c>
    </row>
    <row r="37" spans="1:4" x14ac:dyDescent="0.25">
      <c r="A37" s="56" t="s">
        <v>235</v>
      </c>
      <c r="B37" s="57"/>
      <c r="C37" s="57"/>
      <c r="D37" s="57"/>
    </row>
    <row r="38" spans="1:4" x14ac:dyDescent="0.25">
      <c r="A38" s="53" t="s">
        <v>236</v>
      </c>
      <c r="B38" s="58">
        <v>3033</v>
      </c>
      <c r="C38" s="58">
        <v>1819</v>
      </c>
      <c r="D38" s="58">
        <v>2440</v>
      </c>
    </row>
    <row r="40" spans="1:4" x14ac:dyDescent="0.25">
      <c r="A40" s="60" t="s">
        <v>148</v>
      </c>
    </row>
    <row r="41" spans="1:4" x14ac:dyDescent="0.25">
      <c r="B41" s="61"/>
    </row>
    <row r="42" spans="1:4" x14ac:dyDescent="0.25">
      <c r="A42" t="s">
        <v>368</v>
      </c>
      <c r="B42">
        <v>0</v>
      </c>
      <c r="C42">
        <v>0</v>
      </c>
      <c r="D42">
        <v>0</v>
      </c>
    </row>
    <row r="43" spans="1:4" x14ac:dyDescent="0.25">
      <c r="A43" t="s">
        <v>365</v>
      </c>
      <c r="B43" s="63">
        <f>SUM(B23,B24,B26,B27,B28,B29,B30,B31,B32)</f>
        <v>331929</v>
      </c>
      <c r="C43" s="63">
        <f>SUM(C23,C24,C26,C27,C28,C29,C30,C31,C32)</f>
        <v>-13500</v>
      </c>
      <c r="D43" s="63">
        <f>SUM(D23,D24,D26,D27,D28,D29,D30,D31,D32)</f>
        <v>-8500</v>
      </c>
    </row>
    <row r="44" spans="1:4" x14ac:dyDescent="0.25">
      <c r="A44" t="s">
        <v>65</v>
      </c>
      <c r="B44" s="63">
        <f>B33-B43</f>
        <v>-379784</v>
      </c>
      <c r="C44" s="63">
        <f>C33-C43</f>
        <v>-13989</v>
      </c>
      <c r="D44" s="63">
        <f>D33-D43</f>
        <v>-10661</v>
      </c>
    </row>
  </sheetData>
  <hyperlinks>
    <hyperlink ref="A40" r:id="rId1" xr:uid="{00000000-0004-0000-1B00-000000000000}"/>
  </hyperlinks>
  <pageMargins left="0.75" right="0.75" top="1" bottom="1" header="0.5" footer="0.5"/>
  <pageSetup orientation="portrait" verticalDpi="0"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5" tint="0.79998168889431442"/>
  </sheetPr>
  <dimension ref="A1:C41"/>
  <sheetViews>
    <sheetView workbookViewId="0"/>
  </sheetViews>
  <sheetFormatPr defaultRowHeight="15" x14ac:dyDescent="0.25"/>
  <cols>
    <col min="1" max="1" width="102.140625" bestFit="1" customWidth="1"/>
    <col min="2" max="3" width="15.7109375" customWidth="1"/>
  </cols>
  <sheetData>
    <row r="1" spans="1:3" x14ac:dyDescent="0.25">
      <c r="A1" s="53"/>
      <c r="B1" s="54" t="s">
        <v>237</v>
      </c>
      <c r="C1" s="54"/>
    </row>
    <row r="2" spans="1:3" x14ac:dyDescent="0.25">
      <c r="A2" s="53"/>
      <c r="B2" s="55">
        <v>2021</v>
      </c>
      <c r="C2" s="55">
        <v>2020</v>
      </c>
    </row>
    <row r="3" spans="1:3" x14ac:dyDescent="0.25">
      <c r="A3" s="56" t="s">
        <v>205</v>
      </c>
      <c r="B3" s="57"/>
      <c r="C3" s="57"/>
    </row>
    <row r="4" spans="1:3" x14ac:dyDescent="0.25">
      <c r="A4" s="53" t="s">
        <v>238</v>
      </c>
      <c r="B4" s="58">
        <v>-8334</v>
      </c>
      <c r="C4" s="58">
        <v>9295</v>
      </c>
    </row>
    <row r="5" spans="1:3" x14ac:dyDescent="0.25">
      <c r="A5" s="53" t="s">
        <v>239</v>
      </c>
      <c r="B5" s="57"/>
      <c r="C5" s="57"/>
    </row>
    <row r="6" spans="1:3" x14ac:dyDescent="0.25">
      <c r="A6" s="53" t="s">
        <v>209</v>
      </c>
      <c r="B6" s="59">
        <v>2401</v>
      </c>
      <c r="C6" s="59">
        <v>2322</v>
      </c>
    </row>
    <row r="7" spans="1:3" x14ac:dyDescent="0.25">
      <c r="A7" s="53" t="s">
        <v>240</v>
      </c>
      <c r="B7" s="59">
        <v>5110</v>
      </c>
      <c r="C7" s="59">
        <v>9</v>
      </c>
    </row>
    <row r="8" spans="1:3" x14ac:dyDescent="0.25">
      <c r="A8" s="53" t="s">
        <v>210</v>
      </c>
      <c r="B8" s="59">
        <v>1392</v>
      </c>
      <c r="C8" s="59">
        <v>0</v>
      </c>
    </row>
    <row r="9" spans="1:3" x14ac:dyDescent="0.25">
      <c r="A9" s="53" t="s">
        <v>241</v>
      </c>
      <c r="B9" s="59">
        <v>557</v>
      </c>
      <c r="C9" s="59">
        <v>0</v>
      </c>
    </row>
    <row r="10" spans="1:3" x14ac:dyDescent="0.25">
      <c r="A10" s="53" t="s">
        <v>242</v>
      </c>
      <c r="B10" s="59">
        <v>61</v>
      </c>
      <c r="C10" s="59">
        <v>0</v>
      </c>
    </row>
    <row r="11" spans="1:3" x14ac:dyDescent="0.25">
      <c r="A11" s="53" t="s">
        <v>212</v>
      </c>
      <c r="B11" s="57"/>
      <c r="C11" s="57"/>
    </row>
    <row r="12" spans="1:3" x14ac:dyDescent="0.25">
      <c r="A12" s="53" t="s">
        <v>213</v>
      </c>
      <c r="B12" s="59">
        <v>-1134</v>
      </c>
      <c r="C12" s="59">
        <v>9763</v>
      </c>
    </row>
    <row r="13" spans="1:3" x14ac:dyDescent="0.25">
      <c r="A13" s="53" t="s">
        <v>64</v>
      </c>
      <c r="B13" s="59">
        <v>-6201</v>
      </c>
      <c r="C13" s="59">
        <v>-3389</v>
      </c>
    </row>
    <row r="14" spans="1:3" x14ac:dyDescent="0.25">
      <c r="A14" s="53" t="s">
        <v>214</v>
      </c>
      <c r="B14" s="59">
        <v>-5971</v>
      </c>
      <c r="C14" s="59">
        <v>-3167</v>
      </c>
    </row>
    <row r="15" spans="1:3" x14ac:dyDescent="0.25">
      <c r="A15" s="53" t="s">
        <v>132</v>
      </c>
      <c r="B15" s="59">
        <v>-3465</v>
      </c>
      <c r="C15" s="59">
        <v>-32</v>
      </c>
    </row>
    <row r="16" spans="1:3" x14ac:dyDescent="0.25">
      <c r="A16" s="53" t="s">
        <v>139</v>
      </c>
      <c r="B16" s="59">
        <v>-1693</v>
      </c>
      <c r="C16" s="59">
        <v>2208</v>
      </c>
    </row>
    <row r="17" spans="1:3" x14ac:dyDescent="0.25">
      <c r="A17" s="53" t="s">
        <v>69</v>
      </c>
      <c r="B17" s="59">
        <v>-502</v>
      </c>
      <c r="C17" s="59">
        <v>929</v>
      </c>
    </row>
    <row r="18" spans="1:3" x14ac:dyDescent="0.25">
      <c r="A18" s="56" t="s">
        <v>243</v>
      </c>
      <c r="B18" s="59">
        <v>-17779</v>
      </c>
      <c r="C18" s="59">
        <v>17938</v>
      </c>
    </row>
    <row r="19" spans="1:3" x14ac:dyDescent="0.25">
      <c r="A19" s="56" t="s">
        <v>216</v>
      </c>
      <c r="B19" s="57"/>
      <c r="C19" s="57"/>
    </row>
    <row r="20" spans="1:3" x14ac:dyDescent="0.25">
      <c r="A20" s="53" t="s">
        <v>217</v>
      </c>
      <c r="B20" s="59">
        <v>-863</v>
      </c>
      <c r="C20" s="59">
        <v>-795</v>
      </c>
    </row>
    <row r="21" spans="1:3" x14ac:dyDescent="0.25">
      <c r="A21" s="56" t="s">
        <v>218</v>
      </c>
      <c r="B21" s="59">
        <v>-863</v>
      </c>
      <c r="C21" s="59">
        <v>-795</v>
      </c>
    </row>
    <row r="22" spans="1:3" x14ac:dyDescent="0.25">
      <c r="A22" s="56" t="s">
        <v>219</v>
      </c>
      <c r="B22" s="57"/>
      <c r="C22" s="57"/>
    </row>
    <row r="23" spans="1:3" x14ac:dyDescent="0.25">
      <c r="A23" s="53" t="s">
        <v>220</v>
      </c>
      <c r="B23" s="59">
        <v>0</v>
      </c>
      <c r="C23" s="59">
        <v>-214</v>
      </c>
    </row>
    <row r="24" spans="1:3" x14ac:dyDescent="0.25">
      <c r="A24" s="53" t="s">
        <v>244</v>
      </c>
      <c r="B24" s="59">
        <v>-137</v>
      </c>
      <c r="C24" s="59">
        <v>0</v>
      </c>
    </row>
    <row r="25" spans="1:3" x14ac:dyDescent="0.25">
      <c r="A25" s="53" t="s">
        <v>245</v>
      </c>
      <c r="B25" s="59">
        <v>-94</v>
      </c>
      <c r="C25" s="59">
        <v>0</v>
      </c>
    </row>
    <row r="26" spans="1:3" x14ac:dyDescent="0.25">
      <c r="A26" s="53" t="s">
        <v>246</v>
      </c>
      <c r="B26" s="59">
        <v>-150875</v>
      </c>
      <c r="C26" s="59">
        <v>0</v>
      </c>
    </row>
    <row r="27" spans="1:3" x14ac:dyDescent="0.25">
      <c r="A27" s="53" t="s">
        <v>224</v>
      </c>
      <c r="B27" s="59">
        <v>19000</v>
      </c>
      <c r="C27" s="59">
        <v>0</v>
      </c>
    </row>
    <row r="28" spans="1:3" x14ac:dyDescent="0.25">
      <c r="A28" s="53" t="s">
        <v>227</v>
      </c>
      <c r="B28" s="59">
        <v>0</v>
      </c>
      <c r="C28" s="59">
        <v>-875</v>
      </c>
    </row>
    <row r="29" spans="1:3" x14ac:dyDescent="0.25">
      <c r="A29" s="53" t="s">
        <v>229</v>
      </c>
      <c r="B29" s="59">
        <v>0</v>
      </c>
      <c r="C29" s="59">
        <v>24000</v>
      </c>
    </row>
    <row r="30" spans="1:3" x14ac:dyDescent="0.25">
      <c r="A30" s="53" t="s">
        <v>247</v>
      </c>
      <c r="B30" s="59">
        <v>154521</v>
      </c>
      <c r="C30" s="59">
        <v>0</v>
      </c>
    </row>
    <row r="31" spans="1:3" x14ac:dyDescent="0.25">
      <c r="A31" s="53" t="s">
        <v>223</v>
      </c>
      <c r="B31" s="59">
        <v>-9619</v>
      </c>
      <c r="C31" s="59">
        <v>0</v>
      </c>
    </row>
    <row r="32" spans="1:3" x14ac:dyDescent="0.25">
      <c r="A32" s="56" t="s">
        <v>248</v>
      </c>
      <c r="B32" s="59">
        <v>12796</v>
      </c>
      <c r="C32" s="59">
        <v>22911</v>
      </c>
    </row>
    <row r="33" spans="1:3" x14ac:dyDescent="0.25">
      <c r="A33" s="56" t="s">
        <v>249</v>
      </c>
      <c r="B33" s="59">
        <v>-5846</v>
      </c>
      <c r="C33" s="59">
        <v>40054</v>
      </c>
    </row>
    <row r="34" spans="1:3" x14ac:dyDescent="0.25">
      <c r="A34" s="56" t="s">
        <v>250</v>
      </c>
      <c r="B34" s="59">
        <v>10073</v>
      </c>
      <c r="C34" s="59">
        <v>7082</v>
      </c>
    </row>
    <row r="35" spans="1:3" x14ac:dyDescent="0.25">
      <c r="A35" s="56" t="s">
        <v>251</v>
      </c>
      <c r="B35" s="58">
        <v>4227</v>
      </c>
      <c r="C35" s="58">
        <v>47136</v>
      </c>
    </row>
    <row r="37" spans="1:3" x14ac:dyDescent="0.25">
      <c r="A37" s="60" t="s">
        <v>148</v>
      </c>
    </row>
    <row r="39" spans="1:3" x14ac:dyDescent="0.25">
      <c r="A39" t="s">
        <v>368</v>
      </c>
      <c r="B39" s="63">
        <f>SUM(B30,B31)</f>
        <v>144902</v>
      </c>
      <c r="C39" s="63">
        <f>SUM(C30,C31)</f>
        <v>0</v>
      </c>
    </row>
    <row r="40" spans="1:3" x14ac:dyDescent="0.25">
      <c r="A40" t="s">
        <v>365</v>
      </c>
      <c r="B40" s="63">
        <f>SUM(B25,B26,B27,B28,B29)</f>
        <v>-131969</v>
      </c>
      <c r="C40" s="63">
        <f>SUM(C25,C26,C27,C28,C29)</f>
        <v>23125</v>
      </c>
    </row>
    <row r="41" spans="1:3" x14ac:dyDescent="0.25">
      <c r="A41" t="s">
        <v>65</v>
      </c>
      <c r="B41" s="63">
        <f>B32-SUM(B39:B40)</f>
        <v>-137</v>
      </c>
      <c r="C41" s="63">
        <f>C32-SUM(C39:C40)</f>
        <v>-214</v>
      </c>
    </row>
  </sheetData>
  <hyperlinks>
    <hyperlink ref="A37" r:id="rId1" xr:uid="{00000000-0004-0000-1C00-000000000000}"/>
  </hyperlinks>
  <pageMargins left="0.75" right="0.75" top="1" bottom="1" header="0.5" footer="0.5"/>
  <pageSetup orientation="portrait" verticalDpi="0"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5" tint="0.79998168889431442"/>
  </sheetPr>
  <dimension ref="A1:C49"/>
  <sheetViews>
    <sheetView workbookViewId="0"/>
  </sheetViews>
  <sheetFormatPr defaultRowHeight="15" x14ac:dyDescent="0.25"/>
  <cols>
    <col min="1" max="1" width="50.7109375" customWidth="1"/>
    <col min="2" max="3" width="15.7109375" customWidth="1"/>
  </cols>
  <sheetData>
    <row r="1" spans="1:3" x14ac:dyDescent="0.25">
      <c r="A1" s="53"/>
      <c r="B1" s="54" t="s">
        <v>252</v>
      </c>
      <c r="C1" s="54"/>
    </row>
    <row r="2" spans="1:3" x14ac:dyDescent="0.25">
      <c r="A2" s="53"/>
      <c r="B2" s="55">
        <v>2021</v>
      </c>
      <c r="C2" s="55">
        <v>2020</v>
      </c>
    </row>
    <row r="3" spans="1:3" x14ac:dyDescent="0.25">
      <c r="A3" s="56" t="s">
        <v>205</v>
      </c>
      <c r="B3" s="57"/>
      <c r="C3" s="57"/>
    </row>
    <row r="4" spans="1:3" x14ac:dyDescent="0.25">
      <c r="A4" s="53" t="s">
        <v>206</v>
      </c>
      <c r="B4" s="58">
        <v>820</v>
      </c>
      <c r="C4" s="58">
        <v>14518</v>
      </c>
    </row>
    <row r="5" spans="1:3" x14ac:dyDescent="0.25">
      <c r="A5" s="53" t="s">
        <v>253</v>
      </c>
      <c r="B5" s="57"/>
      <c r="C5" s="57"/>
    </row>
    <row r="6" spans="1:3" x14ac:dyDescent="0.25">
      <c r="A6" s="53" t="s">
        <v>209</v>
      </c>
      <c r="B6" s="59">
        <v>4808</v>
      </c>
      <c r="C6" s="59">
        <v>4656</v>
      </c>
    </row>
    <row r="7" spans="1:3" x14ac:dyDescent="0.25">
      <c r="A7" s="53" t="s">
        <v>240</v>
      </c>
      <c r="B7" s="59">
        <v>5415</v>
      </c>
      <c r="C7" s="59">
        <v>21</v>
      </c>
    </row>
    <row r="8" spans="1:3" x14ac:dyDescent="0.25">
      <c r="A8" s="53" t="s">
        <v>210</v>
      </c>
      <c r="B8" s="59">
        <v>4172</v>
      </c>
      <c r="C8" s="59">
        <v>6704</v>
      </c>
    </row>
    <row r="9" spans="1:3" x14ac:dyDescent="0.25">
      <c r="A9" s="53" t="s">
        <v>241</v>
      </c>
      <c r="B9" s="59">
        <v>-524</v>
      </c>
      <c r="C9" s="59">
        <v>0</v>
      </c>
    </row>
    <row r="10" spans="1:3" x14ac:dyDescent="0.25">
      <c r="A10" s="53" t="s">
        <v>254</v>
      </c>
      <c r="B10" s="59">
        <v>1664</v>
      </c>
      <c r="C10" s="59">
        <v>0</v>
      </c>
    </row>
    <row r="11" spans="1:3" x14ac:dyDescent="0.25">
      <c r="A11" s="53" t="s">
        <v>242</v>
      </c>
      <c r="B11" s="59">
        <v>61</v>
      </c>
      <c r="C11" s="59">
        <v>0</v>
      </c>
    </row>
    <row r="12" spans="1:3" x14ac:dyDescent="0.25">
      <c r="A12" s="53" t="s">
        <v>212</v>
      </c>
      <c r="B12" s="57"/>
      <c r="C12" s="57"/>
    </row>
    <row r="13" spans="1:3" x14ac:dyDescent="0.25">
      <c r="A13" s="53" t="s">
        <v>213</v>
      </c>
      <c r="B13" s="59">
        <v>-15973</v>
      </c>
      <c r="C13" s="59">
        <v>21</v>
      </c>
    </row>
    <row r="14" spans="1:3" x14ac:dyDescent="0.25">
      <c r="A14" s="53" t="s">
        <v>64</v>
      </c>
      <c r="B14" s="59">
        <v>-3003</v>
      </c>
      <c r="C14" s="59">
        <v>-4970</v>
      </c>
    </row>
    <row r="15" spans="1:3" x14ac:dyDescent="0.25">
      <c r="A15" s="53" t="s">
        <v>214</v>
      </c>
      <c r="B15" s="59">
        <v>-6151</v>
      </c>
      <c r="C15" s="59">
        <v>-3356</v>
      </c>
    </row>
    <row r="16" spans="1:3" x14ac:dyDescent="0.25">
      <c r="A16" s="53" t="s">
        <v>68</v>
      </c>
      <c r="B16" s="59">
        <v>-4631</v>
      </c>
      <c r="C16" s="59">
        <v>515</v>
      </c>
    </row>
    <row r="17" spans="1:3" x14ac:dyDescent="0.25">
      <c r="A17" s="53" t="s">
        <v>139</v>
      </c>
      <c r="B17" s="59">
        <v>-410</v>
      </c>
      <c r="C17" s="59">
        <v>-1494</v>
      </c>
    </row>
    <row r="18" spans="1:3" x14ac:dyDescent="0.25">
      <c r="A18" s="53" t="s">
        <v>69</v>
      </c>
      <c r="B18" s="59">
        <v>-362</v>
      </c>
      <c r="C18" s="59">
        <v>2313</v>
      </c>
    </row>
    <row r="19" spans="1:3" x14ac:dyDescent="0.25">
      <c r="A19" s="56" t="s">
        <v>243</v>
      </c>
      <c r="B19" s="59">
        <v>-14114</v>
      </c>
      <c r="C19" s="59">
        <v>18928</v>
      </c>
    </row>
    <row r="20" spans="1:3" x14ac:dyDescent="0.25">
      <c r="A20" s="56" t="s">
        <v>216</v>
      </c>
      <c r="B20" s="57"/>
      <c r="C20" s="57"/>
    </row>
    <row r="21" spans="1:3" x14ac:dyDescent="0.25">
      <c r="A21" s="53" t="s">
        <v>217</v>
      </c>
      <c r="B21" s="59">
        <v>-1736</v>
      </c>
      <c r="C21" s="59">
        <v>-1345</v>
      </c>
    </row>
    <row r="22" spans="1:3" x14ac:dyDescent="0.25">
      <c r="A22" s="56" t="s">
        <v>218</v>
      </c>
      <c r="B22" s="59">
        <v>-1736</v>
      </c>
      <c r="C22" s="59">
        <v>-1345</v>
      </c>
    </row>
    <row r="23" spans="1:3" x14ac:dyDescent="0.25">
      <c r="A23" s="56" t="s">
        <v>219</v>
      </c>
      <c r="B23" s="57"/>
      <c r="C23" s="57"/>
    </row>
    <row r="24" spans="1:3" x14ac:dyDescent="0.25">
      <c r="A24" s="53" t="s">
        <v>255</v>
      </c>
      <c r="B24" s="59">
        <v>-2973</v>
      </c>
      <c r="C24" s="59">
        <v>-214</v>
      </c>
    </row>
    <row r="25" spans="1:3" x14ac:dyDescent="0.25">
      <c r="A25" s="53" t="s">
        <v>244</v>
      </c>
      <c r="B25" s="59">
        <v>-137</v>
      </c>
      <c r="C25" s="59">
        <v>0</v>
      </c>
    </row>
    <row r="26" spans="1:3" x14ac:dyDescent="0.25">
      <c r="A26" s="53" t="s">
        <v>245</v>
      </c>
      <c r="B26" s="59">
        <v>-94</v>
      </c>
      <c r="C26" s="59">
        <v>0</v>
      </c>
    </row>
    <row r="27" spans="1:3" x14ac:dyDescent="0.25">
      <c r="A27" s="53" t="s">
        <v>256</v>
      </c>
      <c r="B27" s="59">
        <v>-151750</v>
      </c>
      <c r="C27" s="59">
        <v>0</v>
      </c>
    </row>
    <row r="28" spans="1:3" x14ac:dyDescent="0.25">
      <c r="A28" s="53" t="s">
        <v>224</v>
      </c>
      <c r="B28" s="59">
        <v>34000</v>
      </c>
      <c r="C28" s="59">
        <v>0</v>
      </c>
    </row>
    <row r="29" spans="1:3" x14ac:dyDescent="0.25">
      <c r="A29" s="53" t="s">
        <v>257</v>
      </c>
      <c r="B29" s="59">
        <v>-5000</v>
      </c>
      <c r="C29" s="59">
        <v>0</v>
      </c>
    </row>
    <row r="30" spans="1:3" x14ac:dyDescent="0.25">
      <c r="A30" s="53" t="s">
        <v>227</v>
      </c>
      <c r="B30" s="59">
        <v>0</v>
      </c>
      <c r="C30" s="59">
        <v>-1747</v>
      </c>
    </row>
    <row r="31" spans="1:3" x14ac:dyDescent="0.25">
      <c r="A31" s="53" t="s">
        <v>228</v>
      </c>
      <c r="B31" s="59">
        <v>0</v>
      </c>
      <c r="C31" s="59">
        <v>-8400</v>
      </c>
    </row>
    <row r="32" spans="1:3" x14ac:dyDescent="0.25">
      <c r="A32" s="53" t="s">
        <v>247</v>
      </c>
      <c r="B32" s="59">
        <v>154521</v>
      </c>
      <c r="C32" s="59">
        <v>0</v>
      </c>
    </row>
    <row r="33" spans="1:3" x14ac:dyDescent="0.25">
      <c r="A33" s="53" t="s">
        <v>223</v>
      </c>
      <c r="B33" s="59">
        <v>-9619</v>
      </c>
      <c r="C33" s="59">
        <v>0</v>
      </c>
    </row>
    <row r="34" spans="1:3" x14ac:dyDescent="0.25">
      <c r="A34" s="56" t="s">
        <v>258</v>
      </c>
      <c r="B34" s="59">
        <v>18948</v>
      </c>
      <c r="C34" s="59">
        <v>-10361</v>
      </c>
    </row>
    <row r="35" spans="1:3" x14ac:dyDescent="0.25">
      <c r="A35" s="56" t="s">
        <v>232</v>
      </c>
      <c r="B35" s="59">
        <v>3098</v>
      </c>
      <c r="C35" s="59">
        <v>7222</v>
      </c>
    </row>
    <row r="36" spans="1:3" x14ac:dyDescent="0.25">
      <c r="A36" s="56" t="s">
        <v>250</v>
      </c>
      <c r="B36" s="59">
        <v>10073</v>
      </c>
      <c r="C36" s="59">
        <v>7082</v>
      </c>
    </row>
    <row r="37" spans="1:3" x14ac:dyDescent="0.25">
      <c r="A37" s="56" t="s">
        <v>251</v>
      </c>
      <c r="B37" s="58">
        <v>13171</v>
      </c>
      <c r="C37" s="58">
        <v>14304</v>
      </c>
    </row>
    <row r="39" spans="1:3" x14ac:dyDescent="0.25">
      <c r="A39" s="60" t="s">
        <v>148</v>
      </c>
      <c r="B39" s="51">
        <f>12063-B37</f>
        <v>-1108</v>
      </c>
    </row>
    <row r="41" spans="1:3" x14ac:dyDescent="0.25">
      <c r="A41" t="s">
        <v>366</v>
      </c>
    </row>
    <row r="42" spans="1:3" x14ac:dyDescent="0.25">
      <c r="A42" t="s">
        <v>368</v>
      </c>
      <c r="B42" s="63">
        <f>SUM(B32,B33)</f>
        <v>144902</v>
      </c>
      <c r="C42" s="63">
        <f>SUM(C32,C33)</f>
        <v>0</v>
      </c>
    </row>
    <row r="43" spans="1:3" x14ac:dyDescent="0.25">
      <c r="A43" t="s">
        <v>365</v>
      </c>
      <c r="B43" s="63">
        <f>SUM(B26,B27,B28,B29,B30,B31)</f>
        <v>-122844</v>
      </c>
      <c r="C43" s="63">
        <f>SUM(C26,C27,C28,C29,C30,C31)</f>
        <v>-10147</v>
      </c>
    </row>
    <row r="44" spans="1:3" x14ac:dyDescent="0.25">
      <c r="A44" t="s">
        <v>65</v>
      </c>
      <c r="B44" s="63">
        <f>B34-SUM(B42:B43)</f>
        <v>-3110</v>
      </c>
      <c r="C44" s="63">
        <f>C34-SUM(C42:C43)</f>
        <v>-214</v>
      </c>
    </row>
    <row r="46" spans="1:3" x14ac:dyDescent="0.25">
      <c r="A46" t="s">
        <v>367</v>
      </c>
    </row>
    <row r="47" spans="1:3" x14ac:dyDescent="0.25">
      <c r="A47" t="s">
        <v>368</v>
      </c>
      <c r="B47" s="63">
        <f>B42-'CF 1Q21'!B39</f>
        <v>0</v>
      </c>
      <c r="C47" s="63">
        <f>C42-'CF 1Q21'!C39</f>
        <v>0</v>
      </c>
    </row>
    <row r="48" spans="1:3" x14ac:dyDescent="0.25">
      <c r="A48" t="s">
        <v>365</v>
      </c>
      <c r="B48" s="63">
        <f>B43-'CF 1Q21'!B40</f>
        <v>9125</v>
      </c>
      <c r="C48" s="63">
        <f>C43-'CF 1Q21'!C40</f>
        <v>-33272</v>
      </c>
    </row>
    <row r="49" spans="1:3" x14ac:dyDescent="0.25">
      <c r="A49" t="s">
        <v>65</v>
      </c>
      <c r="B49" s="63">
        <f>B44-'CF 1Q21'!B41</f>
        <v>-2973</v>
      </c>
      <c r="C49" s="63">
        <f>C44-'CF 1Q21'!C41</f>
        <v>0</v>
      </c>
    </row>
  </sheetData>
  <hyperlinks>
    <hyperlink ref="A39" r:id="rId1" xr:uid="{00000000-0004-0000-1D00-000000000000}"/>
  </hyperlinks>
  <pageMargins left="0.75" right="0.75" top="1" bottom="1" header="0.5" footer="0.5"/>
  <pageSetup orientation="portrait" verticalDpi="0"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5" tint="0.79998168889431442"/>
  </sheetPr>
  <dimension ref="A1:C50"/>
  <sheetViews>
    <sheetView workbookViewId="0"/>
  </sheetViews>
  <sheetFormatPr defaultRowHeight="15" x14ac:dyDescent="0.25"/>
  <cols>
    <col min="1" max="1" width="87.7109375" customWidth="1"/>
    <col min="2" max="3" width="15.7109375" customWidth="1"/>
  </cols>
  <sheetData>
    <row r="1" spans="1:3" x14ac:dyDescent="0.25">
      <c r="A1" s="53"/>
      <c r="B1" s="54" t="s">
        <v>259</v>
      </c>
      <c r="C1" s="54"/>
    </row>
    <row r="2" spans="1:3" x14ac:dyDescent="0.25">
      <c r="A2" s="53"/>
      <c r="B2" s="55">
        <v>2021</v>
      </c>
      <c r="C2" s="55">
        <v>2020</v>
      </c>
    </row>
    <row r="3" spans="1:3" x14ac:dyDescent="0.25">
      <c r="A3" s="56" t="s">
        <v>205</v>
      </c>
      <c r="B3" s="57"/>
      <c r="C3" s="57"/>
    </row>
    <row r="4" spans="1:3" x14ac:dyDescent="0.25">
      <c r="A4" s="53" t="s">
        <v>206</v>
      </c>
      <c r="B4" s="58">
        <v>6096</v>
      </c>
      <c r="C4" s="58">
        <v>29519</v>
      </c>
    </row>
    <row r="5" spans="1:3" x14ac:dyDescent="0.25">
      <c r="A5" s="53" t="s">
        <v>253</v>
      </c>
      <c r="B5" s="57"/>
      <c r="C5" s="57"/>
    </row>
    <row r="6" spans="1:3" x14ac:dyDescent="0.25">
      <c r="A6" s="53" t="s">
        <v>209</v>
      </c>
      <c r="B6" s="59">
        <v>7345</v>
      </c>
      <c r="C6" s="59">
        <v>7017</v>
      </c>
    </row>
    <row r="7" spans="1:3" x14ac:dyDescent="0.25">
      <c r="A7" s="53" t="s">
        <v>240</v>
      </c>
      <c r="B7" s="59">
        <v>5692</v>
      </c>
      <c r="C7" s="59">
        <v>31</v>
      </c>
    </row>
    <row r="8" spans="1:3" x14ac:dyDescent="0.25">
      <c r="A8" s="53" t="s">
        <v>210</v>
      </c>
      <c r="B8" s="59">
        <v>6404</v>
      </c>
      <c r="C8" s="59">
        <v>7219</v>
      </c>
    </row>
    <row r="9" spans="1:3" x14ac:dyDescent="0.25">
      <c r="A9" s="53" t="s">
        <v>211</v>
      </c>
      <c r="B9" s="59">
        <v>435</v>
      </c>
      <c r="C9" s="59">
        <v>488</v>
      </c>
    </row>
    <row r="10" spans="1:3" x14ac:dyDescent="0.25">
      <c r="A10" s="53" t="s">
        <v>241</v>
      </c>
      <c r="B10" s="59">
        <v>640</v>
      </c>
      <c r="C10" s="59">
        <v>0</v>
      </c>
    </row>
    <row r="11" spans="1:3" x14ac:dyDescent="0.25">
      <c r="A11" s="53" t="s">
        <v>254</v>
      </c>
      <c r="B11" s="59">
        <v>3678</v>
      </c>
      <c r="C11" s="59">
        <v>0</v>
      </c>
    </row>
    <row r="12" spans="1:3" x14ac:dyDescent="0.25">
      <c r="A12" s="53" t="s">
        <v>242</v>
      </c>
      <c r="B12" s="59">
        <v>61</v>
      </c>
      <c r="C12" s="59">
        <v>0</v>
      </c>
    </row>
    <row r="13" spans="1:3" x14ac:dyDescent="0.25">
      <c r="A13" s="53" t="s">
        <v>260</v>
      </c>
      <c r="B13" s="57"/>
      <c r="C13" s="57"/>
    </row>
    <row r="14" spans="1:3" x14ac:dyDescent="0.25">
      <c r="A14" s="53" t="s">
        <v>213</v>
      </c>
      <c r="B14" s="59">
        <v>-12271</v>
      </c>
      <c r="C14" s="59">
        <v>-1087</v>
      </c>
    </row>
    <row r="15" spans="1:3" x14ac:dyDescent="0.25">
      <c r="A15" s="53" t="s">
        <v>64</v>
      </c>
      <c r="B15" s="59">
        <v>-6760</v>
      </c>
      <c r="C15" s="59">
        <v>-6076</v>
      </c>
    </row>
    <row r="16" spans="1:3" x14ac:dyDescent="0.25">
      <c r="A16" s="53" t="s">
        <v>214</v>
      </c>
      <c r="B16" s="59">
        <v>-8505</v>
      </c>
      <c r="C16" s="59">
        <v>-2953</v>
      </c>
    </row>
    <row r="17" spans="1:3" x14ac:dyDescent="0.25">
      <c r="A17" s="53" t="s">
        <v>68</v>
      </c>
      <c r="B17" s="59">
        <v>-6904</v>
      </c>
      <c r="C17" s="59">
        <v>670</v>
      </c>
    </row>
    <row r="18" spans="1:3" x14ac:dyDescent="0.25">
      <c r="A18" s="53" t="s">
        <v>139</v>
      </c>
      <c r="B18" s="59">
        <v>-5198</v>
      </c>
      <c r="C18" s="59">
        <v>285</v>
      </c>
    </row>
    <row r="19" spans="1:3" x14ac:dyDescent="0.25">
      <c r="A19" s="53" t="s">
        <v>69</v>
      </c>
      <c r="B19" s="59">
        <v>2608</v>
      </c>
      <c r="C19" s="59">
        <v>3002</v>
      </c>
    </row>
    <row r="20" spans="1:3" x14ac:dyDescent="0.25">
      <c r="A20" s="56" t="s">
        <v>243</v>
      </c>
      <c r="B20" s="59">
        <v>-6679</v>
      </c>
      <c r="C20" s="59">
        <v>38115</v>
      </c>
    </row>
    <row r="21" spans="1:3" x14ac:dyDescent="0.25">
      <c r="A21" s="56" t="s">
        <v>216</v>
      </c>
      <c r="B21" s="57"/>
      <c r="C21" s="57"/>
    </row>
    <row r="22" spans="1:3" x14ac:dyDescent="0.25">
      <c r="A22" s="53" t="s">
        <v>217</v>
      </c>
      <c r="B22" s="59">
        <v>-2483</v>
      </c>
      <c r="C22" s="59">
        <v>-2786</v>
      </c>
    </row>
    <row r="23" spans="1:3" x14ac:dyDescent="0.25">
      <c r="A23" s="53" t="s">
        <v>261</v>
      </c>
      <c r="B23" s="59">
        <v>-12909</v>
      </c>
      <c r="C23" s="59">
        <v>0</v>
      </c>
    </row>
    <row r="24" spans="1:3" x14ac:dyDescent="0.25">
      <c r="A24" s="56" t="s">
        <v>218</v>
      </c>
      <c r="B24" s="59">
        <v>-15392</v>
      </c>
      <c r="C24" s="59">
        <v>-2786</v>
      </c>
    </row>
    <row r="25" spans="1:3" x14ac:dyDescent="0.25">
      <c r="A25" s="56" t="s">
        <v>219</v>
      </c>
      <c r="B25" s="57"/>
      <c r="C25" s="57"/>
    </row>
    <row r="26" spans="1:3" x14ac:dyDescent="0.25">
      <c r="A26" s="53" t="s">
        <v>255</v>
      </c>
      <c r="B26" s="59">
        <v>-4837</v>
      </c>
      <c r="C26" s="59">
        <v>-11356</v>
      </c>
    </row>
    <row r="27" spans="1:3" x14ac:dyDescent="0.25">
      <c r="A27" s="53" t="s">
        <v>244</v>
      </c>
      <c r="B27" s="59">
        <v>-137</v>
      </c>
      <c r="C27" s="59">
        <v>0</v>
      </c>
    </row>
    <row r="28" spans="1:3" x14ac:dyDescent="0.25">
      <c r="A28" s="53" t="s">
        <v>245</v>
      </c>
      <c r="B28" s="59">
        <v>-94</v>
      </c>
      <c r="C28" s="59">
        <v>0</v>
      </c>
    </row>
    <row r="29" spans="1:3" x14ac:dyDescent="0.25">
      <c r="A29" s="53" t="s">
        <v>256</v>
      </c>
      <c r="B29" s="59">
        <v>-152250</v>
      </c>
      <c r="C29" s="59">
        <v>0</v>
      </c>
    </row>
    <row r="30" spans="1:3" x14ac:dyDescent="0.25">
      <c r="A30" s="53" t="s">
        <v>224</v>
      </c>
      <c r="B30" s="59">
        <v>40140</v>
      </c>
      <c r="C30" s="59">
        <v>0</v>
      </c>
    </row>
    <row r="31" spans="1:3" x14ac:dyDescent="0.25">
      <c r="A31" s="53" t="s">
        <v>227</v>
      </c>
      <c r="B31" s="59">
        <v>0</v>
      </c>
      <c r="C31" s="59">
        <v>-21810</v>
      </c>
    </row>
    <row r="32" spans="1:3" x14ac:dyDescent="0.25">
      <c r="A32" s="53" t="s">
        <v>247</v>
      </c>
      <c r="B32" s="59">
        <v>154521</v>
      </c>
      <c r="C32" s="59">
        <v>0</v>
      </c>
    </row>
    <row r="33" spans="1:3" x14ac:dyDescent="0.25">
      <c r="A33" s="53" t="s">
        <v>262</v>
      </c>
      <c r="B33" s="59">
        <v>281064</v>
      </c>
      <c r="C33" s="59">
        <v>0</v>
      </c>
    </row>
    <row r="34" spans="1:3" x14ac:dyDescent="0.25">
      <c r="A34" s="53" t="s">
        <v>263</v>
      </c>
      <c r="B34" s="59">
        <v>-281064</v>
      </c>
      <c r="C34" s="59">
        <v>0</v>
      </c>
    </row>
    <row r="35" spans="1:3" x14ac:dyDescent="0.25">
      <c r="A35" s="53" t="s">
        <v>264</v>
      </c>
      <c r="B35" s="59">
        <v>-1537</v>
      </c>
      <c r="C35" s="59">
        <v>0</v>
      </c>
    </row>
    <row r="36" spans="1:3" x14ac:dyDescent="0.25">
      <c r="A36" s="53" t="s">
        <v>223</v>
      </c>
      <c r="B36" s="59">
        <v>-9619</v>
      </c>
      <c r="C36" s="59">
        <v>0</v>
      </c>
    </row>
    <row r="37" spans="1:3" x14ac:dyDescent="0.25">
      <c r="A37" s="56" t="s">
        <v>258</v>
      </c>
      <c r="B37" s="59">
        <v>26187</v>
      </c>
      <c r="C37" s="59">
        <v>-33166</v>
      </c>
    </row>
    <row r="38" spans="1:3" x14ac:dyDescent="0.25">
      <c r="A38" s="56" t="s">
        <v>232</v>
      </c>
      <c r="B38" s="59">
        <v>4116</v>
      </c>
      <c r="C38" s="59">
        <v>2163</v>
      </c>
    </row>
    <row r="40" spans="1:3" x14ac:dyDescent="0.25">
      <c r="A40" s="60" t="s">
        <v>148</v>
      </c>
    </row>
    <row r="41" spans="1:3" x14ac:dyDescent="0.25">
      <c r="B41">
        <f>10.8-4.116</f>
        <v>6.6840000000000011</v>
      </c>
    </row>
    <row r="42" spans="1:3" x14ac:dyDescent="0.25">
      <c r="A42" t="s">
        <v>366</v>
      </c>
    </row>
    <row r="43" spans="1:3" x14ac:dyDescent="0.25">
      <c r="A43" t="s">
        <v>368</v>
      </c>
      <c r="B43" s="63">
        <f>SUM(B32:B34,B36)</f>
        <v>144902</v>
      </c>
      <c r="C43" s="63">
        <f>SUM(C32:C34,C36)</f>
        <v>0</v>
      </c>
    </row>
    <row r="44" spans="1:3" x14ac:dyDescent="0.25">
      <c r="A44" t="s">
        <v>365</v>
      </c>
      <c r="B44" s="63">
        <f>SUM(B28,B29,B30,B31,B35)</f>
        <v>-113741</v>
      </c>
      <c r="C44" s="63">
        <f>SUM(C29,C30,C31,C35)</f>
        <v>-21810</v>
      </c>
    </row>
    <row r="45" spans="1:3" x14ac:dyDescent="0.25">
      <c r="A45" t="s">
        <v>65</v>
      </c>
      <c r="B45" s="63">
        <f>B37-SUM(B43:B44)</f>
        <v>-4974</v>
      </c>
      <c r="C45" s="63">
        <f>C37-SUM(C43:C44)</f>
        <v>-11356</v>
      </c>
    </row>
    <row r="47" spans="1:3" x14ac:dyDescent="0.25">
      <c r="A47" t="s">
        <v>367</v>
      </c>
    </row>
    <row r="48" spans="1:3" x14ac:dyDescent="0.25">
      <c r="A48" t="s">
        <v>368</v>
      </c>
      <c r="B48" s="63">
        <f>B43-'CF 2Q21'!B42</f>
        <v>0</v>
      </c>
      <c r="C48" s="63">
        <f>C43-'CF 2Q21'!C42</f>
        <v>0</v>
      </c>
    </row>
    <row r="49" spans="1:3" x14ac:dyDescent="0.25">
      <c r="A49" t="s">
        <v>365</v>
      </c>
      <c r="B49" s="63">
        <f>B44-'CF 2Q21'!B43</f>
        <v>9103</v>
      </c>
      <c r="C49" s="63">
        <f>C44-'CF 2Q21'!C43</f>
        <v>-11663</v>
      </c>
    </row>
    <row r="50" spans="1:3" x14ac:dyDescent="0.25">
      <c r="A50" t="s">
        <v>65</v>
      </c>
      <c r="B50" s="63">
        <f>B45-'CF 2Q21'!B44</f>
        <v>-1864</v>
      </c>
      <c r="C50" s="63">
        <f>C45-'CF 2Q21'!C44</f>
        <v>-11142</v>
      </c>
    </row>
  </sheetData>
  <hyperlinks>
    <hyperlink ref="A40" r:id="rId1" xr:uid="{00000000-0004-0000-1E00-000000000000}"/>
  </hyperlinks>
  <pageMargins left="0.75" right="0.75" top="1" bottom="1" header="0.5" footer="0.5"/>
  <pageSetup orientation="portrait" verticalDpi="0"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5" tint="0.79998168889431442"/>
  </sheetPr>
  <dimension ref="A1:D55"/>
  <sheetViews>
    <sheetView workbookViewId="0"/>
  </sheetViews>
  <sheetFormatPr defaultRowHeight="15" x14ac:dyDescent="0.25"/>
  <cols>
    <col min="1" max="1" width="50.7109375" customWidth="1"/>
    <col min="2" max="4" width="15.7109375" customWidth="1"/>
  </cols>
  <sheetData>
    <row r="1" spans="1:4" x14ac:dyDescent="0.25">
      <c r="A1" s="53"/>
      <c r="B1" s="54" t="s">
        <v>204</v>
      </c>
      <c r="C1" s="54"/>
      <c r="D1" s="54"/>
    </row>
    <row r="2" spans="1:4" x14ac:dyDescent="0.25">
      <c r="A2" s="53"/>
      <c r="B2" s="55">
        <v>2021</v>
      </c>
      <c r="C2" s="55">
        <v>2020</v>
      </c>
      <c r="D2" s="55">
        <v>2019</v>
      </c>
    </row>
    <row r="3" spans="1:4" x14ac:dyDescent="0.25">
      <c r="A3" s="56" t="s">
        <v>205</v>
      </c>
      <c r="B3" s="57"/>
      <c r="C3" s="57"/>
      <c r="D3" s="57"/>
    </row>
    <row r="4" spans="1:4" x14ac:dyDescent="0.25">
      <c r="A4" s="53" t="s">
        <v>206</v>
      </c>
      <c r="B4" s="58">
        <v>3944</v>
      </c>
      <c r="C4" s="58">
        <v>33766</v>
      </c>
      <c r="D4" s="58">
        <v>25143</v>
      </c>
    </row>
    <row r="5" spans="1:4" x14ac:dyDescent="0.25">
      <c r="A5" s="53" t="s">
        <v>253</v>
      </c>
      <c r="B5" s="57"/>
      <c r="C5" s="57"/>
      <c r="D5" s="57"/>
    </row>
    <row r="6" spans="1:4" x14ac:dyDescent="0.25">
      <c r="A6" s="53" t="s">
        <v>209</v>
      </c>
      <c r="B6" s="59">
        <v>10053</v>
      </c>
      <c r="C6" s="59">
        <v>9405</v>
      </c>
      <c r="D6" s="59">
        <v>9163</v>
      </c>
    </row>
    <row r="7" spans="1:4" x14ac:dyDescent="0.25">
      <c r="A7" s="53" t="s">
        <v>240</v>
      </c>
      <c r="B7" s="59">
        <v>5969</v>
      </c>
      <c r="C7" s="59">
        <v>351</v>
      </c>
      <c r="D7" s="59">
        <v>38</v>
      </c>
    </row>
    <row r="8" spans="1:4" x14ac:dyDescent="0.25">
      <c r="A8" s="53" t="s">
        <v>210</v>
      </c>
      <c r="B8" s="59">
        <v>11286</v>
      </c>
      <c r="C8" s="59">
        <v>8251</v>
      </c>
      <c r="D8" s="59">
        <v>0</v>
      </c>
    </row>
    <row r="9" spans="1:4" x14ac:dyDescent="0.25">
      <c r="A9" s="53" t="s">
        <v>211</v>
      </c>
      <c r="B9" s="59">
        <v>-1418</v>
      </c>
      <c r="C9" s="59">
        <v>188</v>
      </c>
      <c r="D9" s="59">
        <v>301</v>
      </c>
    </row>
    <row r="10" spans="1:4" x14ac:dyDescent="0.25">
      <c r="A10" s="53" t="s">
        <v>241</v>
      </c>
      <c r="B10" s="59">
        <v>-1476</v>
      </c>
      <c r="C10" s="59">
        <v>0</v>
      </c>
      <c r="D10" s="59">
        <v>0</v>
      </c>
    </row>
    <row r="11" spans="1:4" x14ac:dyDescent="0.25">
      <c r="A11" s="53" t="s">
        <v>265</v>
      </c>
      <c r="B11" s="59">
        <v>1663</v>
      </c>
      <c r="C11" s="59">
        <v>0</v>
      </c>
      <c r="D11" s="59">
        <v>0</v>
      </c>
    </row>
    <row r="12" spans="1:4" x14ac:dyDescent="0.25">
      <c r="A12" s="53" t="s">
        <v>242</v>
      </c>
      <c r="B12" s="59">
        <v>52</v>
      </c>
      <c r="C12" s="59">
        <v>0</v>
      </c>
      <c r="D12" s="59">
        <v>0</v>
      </c>
    </row>
    <row r="13" spans="1:4" x14ac:dyDescent="0.25">
      <c r="A13" s="53" t="s">
        <v>260</v>
      </c>
      <c r="B13" s="57"/>
      <c r="C13" s="57"/>
      <c r="D13" s="57"/>
    </row>
    <row r="14" spans="1:4" x14ac:dyDescent="0.25">
      <c r="A14" s="53" t="s">
        <v>213</v>
      </c>
      <c r="B14" s="59">
        <v>818</v>
      </c>
      <c r="C14" s="59">
        <v>288</v>
      </c>
      <c r="D14" s="59">
        <v>-473</v>
      </c>
    </row>
    <row r="15" spans="1:4" x14ac:dyDescent="0.25">
      <c r="A15" s="53" t="s">
        <v>64</v>
      </c>
      <c r="B15" s="59">
        <v>-9739</v>
      </c>
      <c r="C15" s="59">
        <v>-1289</v>
      </c>
      <c r="D15" s="59">
        <v>-1345</v>
      </c>
    </row>
    <row r="16" spans="1:4" x14ac:dyDescent="0.25">
      <c r="A16" s="53" t="s">
        <v>214</v>
      </c>
      <c r="B16" s="59">
        <v>-17188</v>
      </c>
      <c r="C16" s="59">
        <v>-6475</v>
      </c>
      <c r="D16" s="59">
        <v>-694</v>
      </c>
    </row>
    <row r="17" spans="1:4" x14ac:dyDescent="0.25">
      <c r="A17" s="53" t="s">
        <v>68</v>
      </c>
      <c r="B17" s="59">
        <v>341</v>
      </c>
      <c r="C17" s="59">
        <v>643</v>
      </c>
      <c r="D17" s="59">
        <v>137</v>
      </c>
    </row>
    <row r="18" spans="1:4" x14ac:dyDescent="0.25">
      <c r="A18" s="53" t="s">
        <v>139</v>
      </c>
      <c r="B18" s="59">
        <v>-3877</v>
      </c>
      <c r="C18" s="59">
        <v>4251</v>
      </c>
      <c r="D18" s="59">
        <v>4195</v>
      </c>
    </row>
    <row r="19" spans="1:4" x14ac:dyDescent="0.25">
      <c r="A19" s="53" t="s">
        <v>69</v>
      </c>
      <c r="B19" s="59">
        <v>-4511</v>
      </c>
      <c r="C19" s="59">
        <v>4703</v>
      </c>
      <c r="D19" s="59">
        <v>-283</v>
      </c>
    </row>
    <row r="20" spans="1:4" x14ac:dyDescent="0.25">
      <c r="A20" s="56" t="s">
        <v>243</v>
      </c>
      <c r="B20" s="59">
        <v>-4083</v>
      </c>
      <c r="C20" s="59">
        <v>54082</v>
      </c>
      <c r="D20" s="59">
        <v>36182</v>
      </c>
    </row>
    <row r="21" spans="1:4" x14ac:dyDescent="0.25">
      <c r="A21" s="56" t="s">
        <v>216</v>
      </c>
      <c r="B21" s="57"/>
      <c r="C21" s="57"/>
      <c r="D21" s="57"/>
    </row>
    <row r="22" spans="1:4" x14ac:dyDescent="0.25">
      <c r="A22" s="53" t="s">
        <v>217</v>
      </c>
      <c r="B22" s="59">
        <v>-4126</v>
      </c>
      <c r="C22" s="59">
        <v>-3236</v>
      </c>
      <c r="D22" s="59">
        <v>-1719</v>
      </c>
    </row>
    <row r="23" spans="1:4" x14ac:dyDescent="0.25">
      <c r="A23" s="53" t="s">
        <v>261</v>
      </c>
      <c r="B23" s="59">
        <v>-12909</v>
      </c>
      <c r="C23" s="59">
        <v>0</v>
      </c>
      <c r="D23" s="59">
        <v>0</v>
      </c>
    </row>
    <row r="24" spans="1:4" x14ac:dyDescent="0.25">
      <c r="A24" s="56" t="s">
        <v>218</v>
      </c>
      <c r="B24" s="59">
        <v>-17035</v>
      </c>
      <c r="C24" s="59">
        <v>-3236</v>
      </c>
      <c r="D24" s="59">
        <v>-1719</v>
      </c>
    </row>
    <row r="25" spans="1:4" x14ac:dyDescent="0.25">
      <c r="A25" s="56" t="s">
        <v>219</v>
      </c>
      <c r="B25" s="57"/>
      <c r="C25" s="57"/>
      <c r="D25" s="57"/>
    </row>
    <row r="26" spans="1:4" x14ac:dyDescent="0.25">
      <c r="A26" s="53" t="s">
        <v>255</v>
      </c>
      <c r="B26" s="59">
        <v>-4837</v>
      </c>
      <c r="C26" s="59">
        <v>-376046</v>
      </c>
      <c r="D26" s="59">
        <v>-13989</v>
      </c>
    </row>
    <row r="27" spans="1:4" x14ac:dyDescent="0.25">
      <c r="A27" s="53" t="s">
        <v>244</v>
      </c>
      <c r="B27" s="59">
        <v>-137</v>
      </c>
      <c r="C27" s="59">
        <v>0</v>
      </c>
      <c r="D27" s="59">
        <v>0</v>
      </c>
    </row>
    <row r="28" spans="1:4" x14ac:dyDescent="0.25">
      <c r="A28" s="53" t="s">
        <v>245</v>
      </c>
      <c r="B28" s="59">
        <v>-94</v>
      </c>
      <c r="C28" s="59">
        <v>-11821</v>
      </c>
      <c r="D28" s="59">
        <v>0</v>
      </c>
    </row>
    <row r="29" spans="1:4" x14ac:dyDescent="0.25">
      <c r="A29" s="53" t="s">
        <v>221</v>
      </c>
      <c r="B29" s="59">
        <v>0</v>
      </c>
      <c r="C29" s="59">
        <v>350000</v>
      </c>
      <c r="D29" s="59">
        <v>0</v>
      </c>
    </row>
    <row r="30" spans="1:4" x14ac:dyDescent="0.25">
      <c r="A30" s="53" t="s">
        <v>256</v>
      </c>
      <c r="B30" s="59">
        <v>-152750</v>
      </c>
      <c r="C30" s="59">
        <v>0</v>
      </c>
      <c r="D30" s="59">
        <v>0</v>
      </c>
    </row>
    <row r="31" spans="1:4" x14ac:dyDescent="0.25">
      <c r="A31" s="53" t="s">
        <v>224</v>
      </c>
      <c r="B31" s="59">
        <v>49140</v>
      </c>
      <c r="C31" s="59">
        <v>20000</v>
      </c>
      <c r="D31" s="59">
        <v>0</v>
      </c>
    </row>
    <row r="32" spans="1:4" x14ac:dyDescent="0.25">
      <c r="A32" s="53" t="s">
        <v>257</v>
      </c>
      <c r="B32" s="59">
        <v>-14000</v>
      </c>
      <c r="C32" s="59">
        <v>0</v>
      </c>
      <c r="D32" s="59">
        <v>0</v>
      </c>
    </row>
    <row r="33" spans="1:4" x14ac:dyDescent="0.25">
      <c r="A33" s="53" t="s">
        <v>266</v>
      </c>
      <c r="B33" s="59">
        <v>278833</v>
      </c>
      <c r="C33" s="59">
        <v>0</v>
      </c>
      <c r="D33" s="59">
        <v>0</v>
      </c>
    </row>
    <row r="34" spans="1:4" x14ac:dyDescent="0.25">
      <c r="A34" s="53" t="s">
        <v>267</v>
      </c>
      <c r="B34" s="59">
        <v>-124312</v>
      </c>
      <c r="C34" s="59">
        <v>0</v>
      </c>
      <c r="D34" s="59">
        <v>0</v>
      </c>
    </row>
    <row r="35" spans="1:4" x14ac:dyDescent="0.25">
      <c r="A35" s="53" t="s">
        <v>262</v>
      </c>
      <c r="B35" s="59">
        <v>281064</v>
      </c>
      <c r="C35" s="59">
        <v>0</v>
      </c>
      <c r="D35" s="59">
        <v>0</v>
      </c>
    </row>
    <row r="36" spans="1:4" x14ac:dyDescent="0.25">
      <c r="A36" s="53" t="s">
        <v>263</v>
      </c>
      <c r="B36" s="59">
        <v>-281064</v>
      </c>
      <c r="C36" s="59">
        <v>0</v>
      </c>
      <c r="D36" s="59">
        <v>0</v>
      </c>
    </row>
    <row r="37" spans="1:4" x14ac:dyDescent="0.25">
      <c r="A37" s="53" t="s">
        <v>268</v>
      </c>
      <c r="B37" s="59">
        <v>-1537</v>
      </c>
      <c r="C37" s="59">
        <v>0</v>
      </c>
      <c r="D37" s="59">
        <v>0</v>
      </c>
    </row>
    <row r="38" spans="1:4" x14ac:dyDescent="0.25">
      <c r="A38" s="53" t="s">
        <v>223</v>
      </c>
      <c r="B38" s="59">
        <v>-9704</v>
      </c>
      <c r="C38" s="59">
        <v>-3738</v>
      </c>
      <c r="D38" s="59">
        <v>0</v>
      </c>
    </row>
    <row r="39" spans="1:4" x14ac:dyDescent="0.25">
      <c r="A39" s="53" t="s">
        <v>227</v>
      </c>
      <c r="B39" s="59">
        <v>0</v>
      </c>
      <c r="C39" s="59">
        <v>-26250</v>
      </c>
      <c r="D39" s="59">
        <v>-3500</v>
      </c>
    </row>
    <row r="40" spans="1:4" x14ac:dyDescent="0.25">
      <c r="A40" s="53" t="s">
        <v>229</v>
      </c>
      <c r="B40" s="59">
        <v>0</v>
      </c>
      <c r="C40" s="59">
        <v>0</v>
      </c>
      <c r="D40" s="59">
        <v>2500</v>
      </c>
    </row>
    <row r="41" spans="1:4" x14ac:dyDescent="0.25">
      <c r="A41" s="53" t="s">
        <v>370</v>
      </c>
      <c r="B41" s="59">
        <f>SUM(B26:B40)</f>
        <v>20602</v>
      </c>
      <c r="C41" s="59">
        <f>SUM(C26:C40)</f>
        <v>-47855</v>
      </c>
      <c r="D41" s="59"/>
    </row>
    <row r="42" spans="1:4" x14ac:dyDescent="0.25">
      <c r="A42" s="53" t="s">
        <v>371</v>
      </c>
      <c r="B42" s="59">
        <f>B41+B24+B20</f>
        <v>-516</v>
      </c>
      <c r="C42" s="59">
        <f>C41+C24+C20</f>
        <v>2991</v>
      </c>
      <c r="D42" s="59">
        <f>D41+D24+D20</f>
        <v>34463</v>
      </c>
    </row>
    <row r="43" spans="1:4" x14ac:dyDescent="0.25">
      <c r="A43" s="53"/>
      <c r="B43" s="59"/>
      <c r="C43" s="59"/>
      <c r="D43" s="59"/>
    </row>
    <row r="45" spans="1:4" x14ac:dyDescent="0.25">
      <c r="A45" s="60" t="s">
        <v>148</v>
      </c>
    </row>
    <row r="47" spans="1:4" x14ac:dyDescent="0.25">
      <c r="A47" t="s">
        <v>372</v>
      </c>
    </row>
    <row r="48" spans="1:4" x14ac:dyDescent="0.25">
      <c r="A48" t="s">
        <v>368</v>
      </c>
      <c r="B48" s="63">
        <f>SUM(B33,B35,B36,B38)</f>
        <v>269129</v>
      </c>
      <c r="C48" s="63">
        <f>SUM(C33,C35,C36,C38)</f>
        <v>-3738</v>
      </c>
    </row>
    <row r="49" spans="1:3" x14ac:dyDescent="0.25">
      <c r="A49" t="s">
        <v>365</v>
      </c>
      <c r="B49" s="63">
        <f>SUM(B29,B30,B31,B32,B37,B28,B39,B40)</f>
        <v>-119241</v>
      </c>
      <c r="C49" s="63">
        <f>SUM(C29,C30,C31,C32,C37,C28,C39,C40)</f>
        <v>331929</v>
      </c>
    </row>
    <row r="50" spans="1:3" x14ac:dyDescent="0.25">
      <c r="A50" t="s">
        <v>65</v>
      </c>
      <c r="B50" s="63">
        <f>B41-SUM(B48:B49)</f>
        <v>-129286</v>
      </c>
      <c r="C50" s="63">
        <f>C41-SUM(C48:C49)</f>
        <v>-376046</v>
      </c>
    </row>
    <row r="52" spans="1:3" x14ac:dyDescent="0.25">
      <c r="A52" t="s">
        <v>367</v>
      </c>
    </row>
    <row r="53" spans="1:3" x14ac:dyDescent="0.25">
      <c r="A53" t="s">
        <v>368</v>
      </c>
      <c r="B53" s="63">
        <f>B48-'CF 3Q21'!B43</f>
        <v>124227</v>
      </c>
      <c r="C53" s="63">
        <f>C48-'CF 3Q21'!C43</f>
        <v>-3738</v>
      </c>
    </row>
    <row r="54" spans="1:3" x14ac:dyDescent="0.25">
      <c r="A54" t="s">
        <v>365</v>
      </c>
      <c r="B54" s="63">
        <f>B49-'CF 3Q21'!B44</f>
        <v>-5500</v>
      </c>
      <c r="C54" s="63">
        <f>C49-'CF 3Q21'!C44</f>
        <v>353739</v>
      </c>
    </row>
    <row r="55" spans="1:3" x14ac:dyDescent="0.25">
      <c r="A55" t="s">
        <v>65</v>
      </c>
      <c r="B55" s="63">
        <f>B50-'CF 3Q21'!B45</f>
        <v>-124312</v>
      </c>
      <c r="C55" s="63">
        <f>C50-'CF 3Q21'!C45</f>
        <v>-364690</v>
      </c>
    </row>
  </sheetData>
  <hyperlinks>
    <hyperlink ref="A45" r:id="rId1" xr:uid="{00000000-0004-0000-1F00-000000000000}"/>
  </hyperlinks>
  <pageMargins left="0.75" right="0.75" top="1" bottom="1" header="0.5" footer="0.5"/>
  <pageSetup orientation="portrait" verticalDpi="0"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5" tint="0.79998168889431442"/>
  </sheetPr>
  <dimension ref="A1:C41"/>
  <sheetViews>
    <sheetView workbookViewId="0"/>
  </sheetViews>
  <sheetFormatPr defaultRowHeight="15" x14ac:dyDescent="0.25"/>
  <cols>
    <col min="1" max="1" width="50.7109375" customWidth="1"/>
    <col min="2" max="3" width="15.7109375" customWidth="1"/>
  </cols>
  <sheetData>
    <row r="1" spans="1:3" x14ac:dyDescent="0.25">
      <c r="A1" s="53"/>
      <c r="B1" s="54" t="s">
        <v>237</v>
      </c>
      <c r="C1" s="54"/>
    </row>
    <row r="2" spans="1:3" x14ac:dyDescent="0.25">
      <c r="A2" s="53"/>
      <c r="B2" s="55">
        <v>2022</v>
      </c>
      <c r="C2" s="55">
        <v>2021</v>
      </c>
    </row>
    <row r="3" spans="1:3" x14ac:dyDescent="0.25">
      <c r="A3" s="56" t="s">
        <v>205</v>
      </c>
      <c r="B3" s="57"/>
      <c r="C3" s="57"/>
    </row>
    <row r="4" spans="1:3" x14ac:dyDescent="0.25">
      <c r="A4" s="53" t="s">
        <v>238</v>
      </c>
      <c r="B4" s="58">
        <v>4649</v>
      </c>
      <c r="C4" s="58">
        <v>-8334</v>
      </c>
    </row>
    <row r="5" spans="1:3" x14ac:dyDescent="0.25">
      <c r="A5" s="53" t="s">
        <v>269</v>
      </c>
      <c r="B5" s="57"/>
      <c r="C5" s="57"/>
    </row>
    <row r="6" spans="1:3" x14ac:dyDescent="0.25">
      <c r="A6" s="53" t="s">
        <v>209</v>
      </c>
      <c r="B6" s="59">
        <v>2694</v>
      </c>
      <c r="C6" s="59">
        <v>2401</v>
      </c>
    </row>
    <row r="7" spans="1:3" x14ac:dyDescent="0.25">
      <c r="A7" s="53" t="s">
        <v>240</v>
      </c>
      <c r="B7" s="59">
        <v>276</v>
      </c>
      <c r="C7" s="59">
        <v>5110</v>
      </c>
    </row>
    <row r="8" spans="1:3" x14ac:dyDescent="0.25">
      <c r="A8" s="53" t="s">
        <v>210</v>
      </c>
      <c r="B8" s="59">
        <v>3831</v>
      </c>
      <c r="C8" s="59">
        <v>1392</v>
      </c>
    </row>
    <row r="9" spans="1:3" x14ac:dyDescent="0.25">
      <c r="A9" s="53" t="s">
        <v>241</v>
      </c>
      <c r="B9" s="59">
        <v>1419</v>
      </c>
      <c r="C9" s="59">
        <v>557</v>
      </c>
    </row>
    <row r="10" spans="1:3" x14ac:dyDescent="0.25">
      <c r="A10" s="53" t="s">
        <v>242</v>
      </c>
      <c r="B10" s="59">
        <v>0</v>
      </c>
      <c r="C10" s="59">
        <v>61</v>
      </c>
    </row>
    <row r="11" spans="1:3" x14ac:dyDescent="0.25">
      <c r="A11" s="53" t="s">
        <v>212</v>
      </c>
      <c r="B11" s="57"/>
      <c r="C11" s="57"/>
    </row>
    <row r="12" spans="1:3" x14ac:dyDescent="0.25">
      <c r="A12" s="53" t="s">
        <v>213</v>
      </c>
      <c r="B12" s="59">
        <v>-25388</v>
      </c>
      <c r="C12" s="59">
        <v>-1134</v>
      </c>
    </row>
    <row r="13" spans="1:3" x14ac:dyDescent="0.25">
      <c r="A13" s="53" t="s">
        <v>64</v>
      </c>
      <c r="B13" s="59">
        <v>-2616</v>
      </c>
      <c r="C13" s="59">
        <v>-6201</v>
      </c>
    </row>
    <row r="14" spans="1:3" x14ac:dyDescent="0.25">
      <c r="A14" s="53" t="s">
        <v>214</v>
      </c>
      <c r="B14" s="59">
        <v>-11111</v>
      </c>
      <c r="C14" s="59">
        <v>-5971</v>
      </c>
    </row>
    <row r="15" spans="1:3" x14ac:dyDescent="0.25">
      <c r="A15" s="53" t="s">
        <v>68</v>
      </c>
      <c r="B15" s="59">
        <v>-3421</v>
      </c>
      <c r="C15" s="59">
        <v>-3465</v>
      </c>
    </row>
    <row r="16" spans="1:3" x14ac:dyDescent="0.25">
      <c r="A16" s="53" t="s">
        <v>139</v>
      </c>
      <c r="B16" s="59">
        <v>-2106</v>
      </c>
      <c r="C16" s="59">
        <v>-1693</v>
      </c>
    </row>
    <row r="17" spans="1:3" x14ac:dyDescent="0.25">
      <c r="A17" s="53" t="s">
        <v>69</v>
      </c>
      <c r="B17" s="59">
        <v>5914</v>
      </c>
      <c r="C17" s="59">
        <v>-502</v>
      </c>
    </row>
    <row r="18" spans="1:3" x14ac:dyDescent="0.25">
      <c r="A18" s="56" t="s">
        <v>270</v>
      </c>
      <c r="B18" s="59">
        <v>-25859</v>
      </c>
      <c r="C18" s="59">
        <v>-17779</v>
      </c>
    </row>
    <row r="19" spans="1:3" x14ac:dyDescent="0.25">
      <c r="A19" s="56" t="s">
        <v>216</v>
      </c>
      <c r="B19" s="57"/>
      <c r="C19" s="57"/>
    </row>
    <row r="20" spans="1:3" x14ac:dyDescent="0.25">
      <c r="A20" s="53" t="s">
        <v>217</v>
      </c>
      <c r="B20" s="59">
        <v>-882</v>
      </c>
      <c r="C20" s="59">
        <v>-863</v>
      </c>
    </row>
    <row r="21" spans="1:3" x14ac:dyDescent="0.25">
      <c r="A21" s="56" t="s">
        <v>218</v>
      </c>
      <c r="B21" s="59">
        <v>-882</v>
      </c>
      <c r="C21" s="59">
        <v>-863</v>
      </c>
    </row>
    <row r="22" spans="1:3" x14ac:dyDescent="0.25">
      <c r="A22" s="56" t="s">
        <v>219</v>
      </c>
      <c r="B22" s="57"/>
      <c r="C22" s="57"/>
    </row>
    <row r="23" spans="1:3" x14ac:dyDescent="0.25">
      <c r="A23" s="53" t="s">
        <v>271</v>
      </c>
      <c r="B23" s="59">
        <v>-2938</v>
      </c>
      <c r="C23" s="59">
        <v>0</v>
      </c>
    </row>
    <row r="24" spans="1:3" x14ac:dyDescent="0.25">
      <c r="A24" s="53" t="s">
        <v>244</v>
      </c>
      <c r="B24" s="59">
        <v>-1297</v>
      </c>
      <c r="C24" s="59">
        <v>-137</v>
      </c>
    </row>
    <row r="25" spans="1:3" x14ac:dyDescent="0.25">
      <c r="A25" s="53" t="s">
        <v>245</v>
      </c>
      <c r="B25" s="59">
        <v>0</v>
      </c>
      <c r="C25" s="59">
        <v>-94</v>
      </c>
    </row>
    <row r="26" spans="1:3" x14ac:dyDescent="0.25">
      <c r="A26" s="53" t="s">
        <v>256</v>
      </c>
      <c r="B26" s="59">
        <v>-500</v>
      </c>
      <c r="C26" s="59">
        <v>-150875</v>
      </c>
    </row>
    <row r="27" spans="1:3" x14ac:dyDescent="0.25">
      <c r="A27" s="53" t="s">
        <v>224</v>
      </c>
      <c r="B27" s="59">
        <v>35000</v>
      </c>
      <c r="C27" s="59">
        <v>19000</v>
      </c>
    </row>
    <row r="28" spans="1:3" x14ac:dyDescent="0.25">
      <c r="A28" s="53" t="s">
        <v>247</v>
      </c>
      <c r="B28" s="59">
        <v>0</v>
      </c>
      <c r="C28" s="59">
        <v>278833</v>
      </c>
    </row>
    <row r="29" spans="1:3" x14ac:dyDescent="0.25">
      <c r="A29" s="53" t="s">
        <v>267</v>
      </c>
      <c r="B29" s="59">
        <v>0</v>
      </c>
      <c r="C29" s="59">
        <v>-124312</v>
      </c>
    </row>
    <row r="30" spans="1:3" x14ac:dyDescent="0.25">
      <c r="A30" s="53" t="s">
        <v>223</v>
      </c>
      <c r="B30" s="59">
        <v>0</v>
      </c>
      <c r="C30" s="59">
        <v>-9619</v>
      </c>
    </row>
    <row r="31" spans="1:3" x14ac:dyDescent="0.25">
      <c r="A31" s="56" t="s">
        <v>248</v>
      </c>
      <c r="B31" s="59">
        <v>30265</v>
      </c>
      <c r="C31" s="59">
        <v>12796</v>
      </c>
    </row>
    <row r="32" spans="1:3" x14ac:dyDescent="0.25">
      <c r="A32" s="56" t="s">
        <v>272</v>
      </c>
      <c r="B32" s="59">
        <v>3524</v>
      </c>
      <c r="C32" s="59">
        <v>-5846</v>
      </c>
    </row>
    <row r="33" spans="1:3" x14ac:dyDescent="0.25">
      <c r="A33" s="56" t="s">
        <v>273</v>
      </c>
      <c r="B33" s="59">
        <v>9557</v>
      </c>
      <c r="C33" s="59">
        <v>10073</v>
      </c>
    </row>
    <row r="34" spans="1:3" x14ac:dyDescent="0.25">
      <c r="A34" s="56" t="s">
        <v>274</v>
      </c>
      <c r="B34" s="58">
        <v>13081</v>
      </c>
      <c r="C34" s="58">
        <v>4227</v>
      </c>
    </row>
    <row r="36" spans="1:3" x14ac:dyDescent="0.25">
      <c r="A36" s="60" t="s">
        <v>148</v>
      </c>
    </row>
    <row r="38" spans="1:3" x14ac:dyDescent="0.25">
      <c r="A38" t="s">
        <v>367</v>
      </c>
    </row>
    <row r="39" spans="1:3" x14ac:dyDescent="0.25">
      <c r="A39" t="s">
        <v>368</v>
      </c>
      <c r="B39" s="63">
        <f>SUM(B28,B30)</f>
        <v>0</v>
      </c>
      <c r="C39" s="63">
        <f>SUM(C28,C30)</f>
        <v>269214</v>
      </c>
    </row>
    <row r="40" spans="1:3" x14ac:dyDescent="0.25">
      <c r="A40" t="s">
        <v>365</v>
      </c>
      <c r="B40" s="63">
        <f>SUM(B25,B26,B27)</f>
        <v>34500</v>
      </c>
      <c r="C40" s="63">
        <f>SUM(C25,C26,C27)</f>
        <v>-131969</v>
      </c>
    </row>
    <row r="41" spans="1:3" x14ac:dyDescent="0.25">
      <c r="A41" t="s">
        <v>65</v>
      </c>
      <c r="B41" s="63">
        <f>B31-SUM(B39:B40)</f>
        <v>-4235</v>
      </c>
      <c r="C41" s="63">
        <f>C31-SUM(C39:C40)</f>
        <v>-124449</v>
      </c>
    </row>
  </sheetData>
  <hyperlinks>
    <hyperlink ref="A36" r:id="rId1" xr:uid="{00000000-0004-0000-2000-000000000000}"/>
  </hyperlinks>
  <pageMargins left="0.75" right="0.75" top="1" bottom="1" header="0.5" footer="0.5"/>
  <pageSetup orientation="portrait" verticalDpi="0"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5" tint="0.79998168889431442"/>
  </sheetPr>
  <dimension ref="A1:C49"/>
  <sheetViews>
    <sheetView workbookViewId="0"/>
  </sheetViews>
  <sheetFormatPr defaultRowHeight="15" x14ac:dyDescent="0.25"/>
  <cols>
    <col min="1" max="1" width="50.7109375" customWidth="1"/>
    <col min="2" max="3" width="15.7109375" customWidth="1"/>
  </cols>
  <sheetData>
    <row r="1" spans="1:3" x14ac:dyDescent="0.25">
      <c r="A1" s="53"/>
      <c r="B1" s="54" t="s">
        <v>252</v>
      </c>
      <c r="C1" s="54"/>
    </row>
    <row r="2" spans="1:3" x14ac:dyDescent="0.25">
      <c r="A2" s="53"/>
      <c r="B2" s="55">
        <v>2022</v>
      </c>
      <c r="C2" s="55">
        <v>2021</v>
      </c>
    </row>
    <row r="3" spans="1:3" x14ac:dyDescent="0.25">
      <c r="A3" s="56" t="s">
        <v>205</v>
      </c>
      <c r="B3" s="57"/>
      <c r="C3" s="57"/>
    </row>
    <row r="4" spans="1:3" x14ac:dyDescent="0.25">
      <c r="A4" s="53" t="s">
        <v>206</v>
      </c>
      <c r="B4" s="58">
        <v>11952</v>
      </c>
      <c r="C4" s="58">
        <v>820</v>
      </c>
    </row>
    <row r="5" spans="1:3" x14ac:dyDescent="0.25">
      <c r="A5" s="53" t="s">
        <v>275</v>
      </c>
      <c r="B5" s="57"/>
      <c r="C5" s="57"/>
    </row>
    <row r="6" spans="1:3" x14ac:dyDescent="0.25">
      <c r="A6" s="53" t="s">
        <v>209</v>
      </c>
      <c r="B6" s="59">
        <v>5402</v>
      </c>
      <c r="C6" s="59">
        <v>4808</v>
      </c>
    </row>
    <row r="7" spans="1:3" x14ac:dyDescent="0.25">
      <c r="A7" s="53" t="s">
        <v>240</v>
      </c>
      <c r="B7" s="59">
        <v>684</v>
      </c>
      <c r="C7" s="59">
        <v>5415</v>
      </c>
    </row>
    <row r="8" spans="1:3" x14ac:dyDescent="0.25">
      <c r="A8" s="53" t="s">
        <v>210</v>
      </c>
      <c r="B8" s="59">
        <v>7896</v>
      </c>
      <c r="C8" s="59">
        <v>4172</v>
      </c>
    </row>
    <row r="9" spans="1:3" x14ac:dyDescent="0.25">
      <c r="A9" s="53" t="s">
        <v>276</v>
      </c>
      <c r="B9" s="59">
        <v>443</v>
      </c>
      <c r="C9" s="59">
        <v>0</v>
      </c>
    </row>
    <row r="10" spans="1:3" x14ac:dyDescent="0.25">
      <c r="A10" s="53" t="s">
        <v>241</v>
      </c>
      <c r="B10" s="59">
        <v>2847</v>
      </c>
      <c r="C10" s="59">
        <v>-524</v>
      </c>
    </row>
    <row r="11" spans="1:3" x14ac:dyDescent="0.25">
      <c r="A11" s="53" t="s">
        <v>277</v>
      </c>
      <c r="B11" s="59">
        <v>0</v>
      </c>
      <c r="C11" s="59">
        <v>1664</v>
      </c>
    </row>
    <row r="12" spans="1:3" x14ac:dyDescent="0.25">
      <c r="A12" s="53" t="s">
        <v>242</v>
      </c>
      <c r="B12" s="59">
        <v>0</v>
      </c>
      <c r="C12" s="59">
        <v>61</v>
      </c>
    </row>
    <row r="13" spans="1:3" x14ac:dyDescent="0.25">
      <c r="A13" s="53" t="s">
        <v>212</v>
      </c>
      <c r="B13" s="57"/>
      <c r="C13" s="57"/>
    </row>
    <row r="14" spans="1:3" x14ac:dyDescent="0.25">
      <c r="A14" s="53" t="s">
        <v>213</v>
      </c>
      <c r="B14" s="59">
        <v>-26259</v>
      </c>
      <c r="C14" s="59">
        <v>-15973</v>
      </c>
    </row>
    <row r="15" spans="1:3" x14ac:dyDescent="0.25">
      <c r="A15" s="53" t="s">
        <v>64</v>
      </c>
      <c r="B15" s="59">
        <v>-1047</v>
      </c>
      <c r="C15" s="59">
        <v>-3003</v>
      </c>
    </row>
    <row r="16" spans="1:3" x14ac:dyDescent="0.25">
      <c r="A16" s="53" t="s">
        <v>214</v>
      </c>
      <c r="B16" s="59">
        <v>-27404</v>
      </c>
      <c r="C16" s="59">
        <v>-6151</v>
      </c>
    </row>
    <row r="17" spans="1:3" x14ac:dyDescent="0.25">
      <c r="A17" s="53" t="s">
        <v>68</v>
      </c>
      <c r="B17" s="59">
        <v>-2059</v>
      </c>
      <c r="C17" s="59">
        <v>-4631</v>
      </c>
    </row>
    <row r="18" spans="1:3" x14ac:dyDescent="0.25">
      <c r="A18" s="53" t="s">
        <v>139</v>
      </c>
      <c r="B18" s="59">
        <v>4060</v>
      </c>
      <c r="C18" s="59">
        <v>-410</v>
      </c>
    </row>
    <row r="19" spans="1:3" x14ac:dyDescent="0.25">
      <c r="A19" s="53" t="s">
        <v>196</v>
      </c>
      <c r="B19" s="59">
        <v>16742</v>
      </c>
      <c r="C19" s="59">
        <v>-362</v>
      </c>
    </row>
    <row r="20" spans="1:3" x14ac:dyDescent="0.25">
      <c r="A20" s="56" t="s">
        <v>270</v>
      </c>
      <c r="B20" s="59">
        <v>-6743</v>
      </c>
      <c r="C20" s="59">
        <v>-14114</v>
      </c>
    </row>
    <row r="21" spans="1:3" x14ac:dyDescent="0.25">
      <c r="A21" s="56" t="s">
        <v>216</v>
      </c>
      <c r="B21" s="57"/>
      <c r="C21" s="57"/>
    </row>
    <row r="22" spans="1:3" x14ac:dyDescent="0.25">
      <c r="A22" s="53" t="s">
        <v>217</v>
      </c>
      <c r="B22" s="59">
        <v>-2149</v>
      </c>
      <c r="C22" s="59">
        <v>-1736</v>
      </c>
    </row>
    <row r="23" spans="1:3" x14ac:dyDescent="0.25">
      <c r="A23" s="56" t="s">
        <v>218</v>
      </c>
      <c r="B23" s="59">
        <v>-2149</v>
      </c>
      <c r="C23" s="59">
        <v>-1736</v>
      </c>
    </row>
    <row r="24" spans="1:3" x14ac:dyDescent="0.25">
      <c r="A24" s="56" t="s">
        <v>219</v>
      </c>
      <c r="B24" s="57"/>
      <c r="C24" s="57"/>
    </row>
    <row r="25" spans="1:3" x14ac:dyDescent="0.25">
      <c r="A25" s="53" t="s">
        <v>271</v>
      </c>
      <c r="B25" s="59">
        <v>-4566</v>
      </c>
      <c r="C25" s="59">
        <v>-2973</v>
      </c>
    </row>
    <row r="26" spans="1:3" x14ac:dyDescent="0.25">
      <c r="A26" s="53" t="s">
        <v>244</v>
      </c>
      <c r="B26" s="59">
        <v>-1297</v>
      </c>
      <c r="C26" s="59">
        <v>-137</v>
      </c>
    </row>
    <row r="27" spans="1:3" x14ac:dyDescent="0.25">
      <c r="A27" s="53" t="s">
        <v>245</v>
      </c>
      <c r="B27" s="59">
        <v>0</v>
      </c>
      <c r="C27" s="59">
        <v>-94</v>
      </c>
    </row>
    <row r="28" spans="1:3" x14ac:dyDescent="0.25">
      <c r="A28" s="53" t="s">
        <v>256</v>
      </c>
      <c r="B28" s="59">
        <v>-1000</v>
      </c>
      <c r="C28" s="59">
        <v>-151750</v>
      </c>
    </row>
    <row r="29" spans="1:3" x14ac:dyDescent="0.25">
      <c r="A29" s="53" t="s">
        <v>224</v>
      </c>
      <c r="B29" s="59">
        <v>38000</v>
      </c>
      <c r="C29" s="59">
        <v>34000</v>
      </c>
    </row>
    <row r="30" spans="1:3" x14ac:dyDescent="0.25">
      <c r="A30" s="53" t="s">
        <v>257</v>
      </c>
      <c r="B30" s="59">
        <v>-8000</v>
      </c>
      <c r="C30" s="59">
        <v>-5000</v>
      </c>
    </row>
    <row r="31" spans="1:3" x14ac:dyDescent="0.25">
      <c r="A31" s="53" t="s">
        <v>247</v>
      </c>
      <c r="B31" s="59">
        <v>0</v>
      </c>
      <c r="C31" s="59">
        <v>278833</v>
      </c>
    </row>
    <row r="32" spans="1:3" x14ac:dyDescent="0.25">
      <c r="A32" s="53" t="s">
        <v>267</v>
      </c>
      <c r="B32" s="59">
        <v>0</v>
      </c>
      <c r="C32" s="59">
        <v>-124312</v>
      </c>
    </row>
    <row r="33" spans="1:3" x14ac:dyDescent="0.25">
      <c r="A33" s="53" t="s">
        <v>223</v>
      </c>
      <c r="B33" s="59">
        <v>0</v>
      </c>
      <c r="C33" s="59">
        <v>-9619</v>
      </c>
    </row>
    <row r="34" spans="1:3" x14ac:dyDescent="0.25">
      <c r="A34" s="56" t="s">
        <v>248</v>
      </c>
      <c r="B34" s="59">
        <v>23137</v>
      </c>
      <c r="C34" s="59">
        <v>18948</v>
      </c>
    </row>
    <row r="35" spans="1:3" x14ac:dyDescent="0.25">
      <c r="A35" s="56" t="s">
        <v>278</v>
      </c>
      <c r="B35" s="59">
        <v>14245</v>
      </c>
      <c r="C35" s="59">
        <v>3098</v>
      </c>
    </row>
    <row r="36" spans="1:3" x14ac:dyDescent="0.25">
      <c r="A36" s="56" t="s">
        <v>273</v>
      </c>
      <c r="B36" s="59">
        <v>9557</v>
      </c>
      <c r="C36" s="59">
        <v>10073</v>
      </c>
    </row>
    <row r="37" spans="1:3" x14ac:dyDescent="0.25">
      <c r="A37" s="56" t="s">
        <v>274</v>
      </c>
      <c r="B37" s="58">
        <v>23802</v>
      </c>
      <c r="C37" s="58">
        <v>13171</v>
      </c>
    </row>
    <row r="39" spans="1:3" x14ac:dyDescent="0.25">
      <c r="A39" s="60" t="s">
        <v>148</v>
      </c>
    </row>
    <row r="41" spans="1:3" x14ac:dyDescent="0.25">
      <c r="A41" t="s">
        <v>366</v>
      </c>
    </row>
    <row r="42" spans="1:3" x14ac:dyDescent="0.25">
      <c r="A42" t="s">
        <v>368</v>
      </c>
      <c r="B42" s="63">
        <f>SUM(B31,B33)</f>
        <v>0</v>
      </c>
      <c r="C42" s="63">
        <f>SUM(C31,C33)</f>
        <v>269214</v>
      </c>
    </row>
    <row r="43" spans="1:3" x14ac:dyDescent="0.25">
      <c r="A43" t="s">
        <v>365</v>
      </c>
      <c r="B43" s="63">
        <f>SUM(B27,B28,B29,B30)</f>
        <v>29000</v>
      </c>
      <c r="C43" s="63">
        <f>SUM(C27,C28,C29,C30)</f>
        <v>-122844</v>
      </c>
    </row>
    <row r="44" spans="1:3" x14ac:dyDescent="0.25">
      <c r="A44" t="s">
        <v>65</v>
      </c>
      <c r="B44" s="63">
        <f>B34-SUM(B42:B43)</f>
        <v>-5863</v>
      </c>
      <c r="C44" s="63">
        <f>C34-SUM(C42:C43)</f>
        <v>-127422</v>
      </c>
    </row>
    <row r="46" spans="1:3" x14ac:dyDescent="0.25">
      <c r="A46" t="s">
        <v>367</v>
      </c>
    </row>
    <row r="47" spans="1:3" x14ac:dyDescent="0.25">
      <c r="A47" t="s">
        <v>368</v>
      </c>
      <c r="B47" s="63">
        <f>B42-'CF 1Q22'!B39</f>
        <v>0</v>
      </c>
      <c r="C47" s="63">
        <f>C42-'CF 1Q22'!C39</f>
        <v>0</v>
      </c>
    </row>
    <row r="48" spans="1:3" x14ac:dyDescent="0.25">
      <c r="A48" t="s">
        <v>365</v>
      </c>
      <c r="B48" s="63">
        <f>B43-'CF 1Q22'!B40</f>
        <v>-5500</v>
      </c>
      <c r="C48" s="63">
        <f>C43-'CF 1Q22'!C40</f>
        <v>9125</v>
      </c>
    </row>
    <row r="49" spans="1:3" x14ac:dyDescent="0.25">
      <c r="A49" t="s">
        <v>65</v>
      </c>
      <c r="B49" s="63">
        <f>B44-'CF 1Q22'!B41</f>
        <v>-1628</v>
      </c>
      <c r="C49" s="63">
        <f>C44-'CF 1Q22'!C41</f>
        <v>-2973</v>
      </c>
    </row>
  </sheetData>
  <hyperlinks>
    <hyperlink ref="A39" r:id="rId1" xr:uid="{00000000-0004-0000-2100-000000000000}"/>
  </hyperlinks>
  <pageMargins left="0.75" right="0.75" top="1" bottom="1" header="0.5" footer="0.5"/>
  <pageSetup orientation="portrait" verticalDpi="0"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5DCD3B-8B13-497C-8F15-E823F1C48001}">
  <dimension ref="D2:R8"/>
  <sheetViews>
    <sheetView workbookViewId="0"/>
  </sheetViews>
  <sheetFormatPr defaultRowHeight="14.25" x14ac:dyDescent="0.2"/>
  <cols>
    <col min="1" max="3" width="9.140625" style="1"/>
    <col min="4" max="4" width="27.140625" style="1" bestFit="1" customWidth="1"/>
    <col min="5" max="17" width="9.140625" style="1"/>
    <col min="18" max="18" width="20.42578125" style="1" bestFit="1" customWidth="1"/>
    <col min="19" max="16384" width="9.140625" style="1"/>
  </cols>
  <sheetData>
    <row r="2" spans="4:18" ht="15" x14ac:dyDescent="0.25">
      <c r="D2" s="75" t="s">
        <v>635</v>
      </c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</row>
    <row r="3" spans="4:18" ht="15" x14ac:dyDescent="0.25">
      <c r="D3" s="73"/>
      <c r="E3" s="73">
        <v>2021</v>
      </c>
      <c r="F3" s="73">
        <f>E3+1</f>
        <v>2022</v>
      </c>
      <c r="G3" s="73">
        <f t="shared" ref="G3:N3" si="0">F3+1</f>
        <v>2023</v>
      </c>
      <c r="H3" s="73">
        <f t="shared" si="0"/>
        <v>2024</v>
      </c>
      <c r="I3" s="73">
        <f t="shared" si="0"/>
        <v>2025</v>
      </c>
      <c r="J3" s="73">
        <f t="shared" si="0"/>
        <v>2026</v>
      </c>
      <c r="K3" s="73">
        <f t="shared" si="0"/>
        <v>2027</v>
      </c>
      <c r="L3" s="73">
        <f t="shared" si="0"/>
        <v>2028</v>
      </c>
      <c r="M3" s="73">
        <f t="shared" si="0"/>
        <v>2029</v>
      </c>
      <c r="N3" s="73">
        <f t="shared" si="0"/>
        <v>2030</v>
      </c>
      <c r="P3" s="1" t="s">
        <v>548</v>
      </c>
    </row>
    <row r="4" spans="4:18" x14ac:dyDescent="0.2">
      <c r="D4" s="1" t="s">
        <v>636</v>
      </c>
      <c r="E4" s="1">
        <v>129</v>
      </c>
      <c r="K4" s="1">
        <v>336</v>
      </c>
      <c r="P4" s="33">
        <f>RATE(6,,-E4,K4)</f>
        <v>0.17298266662368819</v>
      </c>
    </row>
    <row r="6" spans="4:18" x14ac:dyDescent="0.2">
      <c r="R6" s="33"/>
    </row>
    <row r="7" spans="4:18" x14ac:dyDescent="0.2">
      <c r="P7" s="33"/>
      <c r="R7" s="33"/>
    </row>
    <row r="8" spans="4:18" x14ac:dyDescent="0.2">
      <c r="R8" s="74"/>
    </row>
  </sheetData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52703-444B-408D-9A8D-E624B3112039}">
  <dimension ref="D3:AN20"/>
  <sheetViews>
    <sheetView workbookViewId="0"/>
  </sheetViews>
  <sheetFormatPr defaultRowHeight="14.25" x14ac:dyDescent="0.2"/>
  <cols>
    <col min="1" max="5" width="9.140625" style="1"/>
    <col min="6" max="6" width="10.85546875" style="1" bestFit="1" customWidth="1"/>
    <col min="7" max="8" width="9.140625" style="1"/>
    <col min="9" max="9" width="10.85546875" style="1" bestFit="1" customWidth="1"/>
    <col min="10" max="11" width="9.140625" style="1"/>
    <col min="12" max="12" width="10.85546875" style="1" bestFit="1" customWidth="1"/>
    <col min="13" max="14" width="9.140625" style="1"/>
    <col min="15" max="15" width="10.85546875" style="1" bestFit="1" customWidth="1"/>
    <col min="16" max="18" width="9.140625" style="1"/>
    <col min="19" max="19" width="10.85546875" style="1" bestFit="1" customWidth="1"/>
    <col min="20" max="22" width="9.140625" style="1"/>
    <col min="23" max="23" width="10.85546875" style="1" bestFit="1" customWidth="1"/>
    <col min="24" max="26" width="9.140625" style="1"/>
    <col min="27" max="27" width="10.85546875" style="1" bestFit="1" customWidth="1"/>
    <col min="28" max="30" width="9.140625" style="1"/>
    <col min="31" max="31" width="10.85546875" style="1" bestFit="1" customWidth="1"/>
    <col min="32" max="34" width="9.140625" style="1"/>
    <col min="35" max="35" width="10.85546875" style="1" bestFit="1" customWidth="1"/>
    <col min="36" max="38" width="9.140625" style="1"/>
    <col min="39" max="39" width="10.85546875" style="1" bestFit="1" customWidth="1"/>
    <col min="40" max="40" width="9.42578125" style="1" bestFit="1" customWidth="1"/>
    <col min="41" max="16384" width="9.140625" style="1"/>
  </cols>
  <sheetData>
    <row r="3" spans="5:40" x14ac:dyDescent="0.2">
      <c r="G3" s="1" t="s">
        <v>651</v>
      </c>
      <c r="J3" s="1" t="s">
        <v>652</v>
      </c>
      <c r="M3" s="1" t="s">
        <v>653</v>
      </c>
      <c r="P3" s="1" t="s">
        <v>655</v>
      </c>
      <c r="T3" s="1" t="s">
        <v>650</v>
      </c>
      <c r="X3" s="1" t="s">
        <v>649</v>
      </c>
      <c r="AB3" s="1" t="s">
        <v>648</v>
      </c>
      <c r="AF3" s="1" t="s">
        <v>645</v>
      </c>
      <c r="AJ3" s="1" t="s">
        <v>646</v>
      </c>
      <c r="AN3" s="1" t="s">
        <v>647</v>
      </c>
    </row>
    <row r="4" spans="5:40" ht="15" x14ac:dyDescent="0.25">
      <c r="F4" s="75" t="s">
        <v>599</v>
      </c>
      <c r="G4" s="75" t="s">
        <v>600</v>
      </c>
      <c r="I4" s="75" t="s">
        <v>599</v>
      </c>
      <c r="J4" s="75" t="s">
        <v>600</v>
      </c>
      <c r="L4" s="75" t="s">
        <v>599</v>
      </c>
      <c r="M4" s="75" t="s">
        <v>600</v>
      </c>
      <c r="O4" s="75" t="s">
        <v>599</v>
      </c>
      <c r="P4" s="75" t="s">
        <v>600</v>
      </c>
      <c r="S4" s="75" t="s">
        <v>599</v>
      </c>
      <c r="T4" s="75" t="s">
        <v>600</v>
      </c>
      <c r="W4" s="75" t="s">
        <v>599</v>
      </c>
      <c r="X4" s="75" t="s">
        <v>600</v>
      </c>
      <c r="AA4" s="75" t="s">
        <v>599</v>
      </c>
      <c r="AB4" s="75" t="s">
        <v>600</v>
      </c>
      <c r="AE4" s="75" t="s">
        <v>599</v>
      </c>
      <c r="AF4" s="75" t="s">
        <v>600</v>
      </c>
      <c r="AI4" s="75" t="s">
        <v>599</v>
      </c>
      <c r="AJ4" s="75" t="s">
        <v>600</v>
      </c>
      <c r="AM4" s="75" t="s">
        <v>599</v>
      </c>
      <c r="AN4" s="75" t="s">
        <v>600</v>
      </c>
    </row>
    <row r="5" spans="5:40" x14ac:dyDescent="0.2">
      <c r="F5" s="1" t="s">
        <v>639</v>
      </c>
      <c r="G5" s="85">
        <v>0.24</v>
      </c>
      <c r="I5" s="1" t="s">
        <v>639</v>
      </c>
      <c r="J5" s="85">
        <v>0.214</v>
      </c>
      <c r="L5" s="1" t="s">
        <v>639</v>
      </c>
      <c r="M5" s="85">
        <v>0.22</v>
      </c>
      <c r="O5" s="1" t="s">
        <v>639</v>
      </c>
      <c r="P5" s="85">
        <v>0.22</v>
      </c>
      <c r="S5" s="1" t="s">
        <v>639</v>
      </c>
      <c r="T5" s="85">
        <v>0.182</v>
      </c>
      <c r="W5" s="1" t="s">
        <v>639</v>
      </c>
      <c r="X5" s="85">
        <v>0.22500000000000001</v>
      </c>
      <c r="AA5" s="1" t="s">
        <v>639</v>
      </c>
      <c r="AB5" s="85">
        <v>0.22500000000000001</v>
      </c>
      <c r="AE5" s="1" t="s">
        <v>639</v>
      </c>
      <c r="AF5" s="85">
        <v>0.18</v>
      </c>
      <c r="AI5" s="1" t="s">
        <v>639</v>
      </c>
      <c r="AJ5" s="85">
        <v>0.16400000000000001</v>
      </c>
      <c r="AM5" s="1" t="s">
        <v>639</v>
      </c>
      <c r="AN5" s="85">
        <v>0.123</v>
      </c>
    </row>
    <row r="6" spans="5:40" x14ac:dyDescent="0.2">
      <c r="F6" s="1" t="s">
        <v>640</v>
      </c>
      <c r="G6" s="85">
        <v>0.27</v>
      </c>
      <c r="I6" s="1" t="s">
        <v>640</v>
      </c>
      <c r="J6" s="85">
        <v>0.23899999999999999</v>
      </c>
      <c r="L6" s="1" t="s">
        <v>640</v>
      </c>
      <c r="M6" s="85">
        <v>0.182</v>
      </c>
      <c r="O6" s="1" t="s">
        <v>640</v>
      </c>
      <c r="P6" s="85"/>
      <c r="S6" s="1" t="s">
        <v>640</v>
      </c>
      <c r="T6" s="85">
        <v>0.16400000000000001</v>
      </c>
      <c r="W6" s="1" t="s">
        <v>640</v>
      </c>
      <c r="X6" s="85">
        <v>0.13200000000000001</v>
      </c>
      <c r="AA6" s="1" t="s">
        <v>640</v>
      </c>
      <c r="AB6" s="85">
        <v>0.11799999999999999</v>
      </c>
      <c r="AE6" s="1" t="s">
        <v>640</v>
      </c>
      <c r="AF6" s="85"/>
      <c r="AI6" s="1" t="s">
        <v>640</v>
      </c>
      <c r="AJ6" s="85">
        <v>0.122</v>
      </c>
      <c r="AM6" s="1" t="s">
        <v>640</v>
      </c>
      <c r="AN6" s="85">
        <v>0.1</v>
      </c>
    </row>
    <row r="7" spans="5:40" x14ac:dyDescent="0.2">
      <c r="F7" s="1" t="s">
        <v>642</v>
      </c>
      <c r="G7" s="85">
        <v>6.0000000000000001E-3</v>
      </c>
      <c r="I7" s="1" t="s">
        <v>642</v>
      </c>
      <c r="J7" s="85">
        <v>0.121</v>
      </c>
      <c r="L7" s="1" t="s">
        <v>642</v>
      </c>
      <c r="M7" s="85">
        <v>9.9000000000000005E-2</v>
      </c>
      <c r="O7" s="1" t="s">
        <v>642</v>
      </c>
      <c r="P7" s="85"/>
      <c r="S7" s="1" t="s">
        <v>642</v>
      </c>
      <c r="T7" s="85">
        <v>0.14199999999999999</v>
      </c>
      <c r="W7" s="1" t="s">
        <v>642</v>
      </c>
      <c r="X7" s="85">
        <v>3.9E-2</v>
      </c>
      <c r="AA7" s="1" t="s">
        <v>642</v>
      </c>
      <c r="AB7" s="85">
        <v>8.5999999999999993E-2</v>
      </c>
      <c r="AE7" s="1" t="s">
        <v>642</v>
      </c>
      <c r="AF7" s="85"/>
      <c r="AI7" s="1" t="s">
        <v>642</v>
      </c>
      <c r="AJ7" s="85">
        <v>0.105</v>
      </c>
      <c r="AM7" s="1" t="s">
        <v>642</v>
      </c>
      <c r="AN7" s="85">
        <v>9.7000000000000003E-2</v>
      </c>
    </row>
    <row r="8" spans="5:40" x14ac:dyDescent="0.2">
      <c r="F8" s="1" t="s">
        <v>641</v>
      </c>
      <c r="G8" s="85">
        <v>0.187</v>
      </c>
      <c r="I8" s="1" t="s">
        <v>641</v>
      </c>
      <c r="J8" s="85">
        <v>0.123</v>
      </c>
      <c r="L8" s="1" t="s">
        <v>641</v>
      </c>
      <c r="M8" s="85"/>
      <c r="O8" s="1" t="s">
        <v>641</v>
      </c>
      <c r="P8" s="85"/>
      <c r="S8" s="1" t="s">
        <v>641</v>
      </c>
      <c r="T8" s="85">
        <v>4.8000000000000001E-2</v>
      </c>
      <c r="W8" s="1" t="s">
        <v>641</v>
      </c>
      <c r="X8" s="85">
        <v>6.5000000000000002E-2</v>
      </c>
      <c r="AA8" s="1" t="s">
        <v>641</v>
      </c>
      <c r="AB8" s="85"/>
      <c r="AE8" s="1" t="s">
        <v>641</v>
      </c>
      <c r="AF8" s="85"/>
      <c r="AI8" s="1" t="s">
        <v>641</v>
      </c>
      <c r="AJ8" s="85">
        <v>0.1</v>
      </c>
      <c r="AM8" s="1" t="s">
        <v>641</v>
      </c>
      <c r="AN8" s="85">
        <v>7.3999999999999996E-2</v>
      </c>
    </row>
    <row r="9" spans="5:40" x14ac:dyDescent="0.2">
      <c r="F9" s="1" t="s">
        <v>643</v>
      </c>
      <c r="G9" s="85"/>
      <c r="I9" s="1" t="s">
        <v>643</v>
      </c>
      <c r="J9" s="85">
        <v>0.104</v>
      </c>
      <c r="L9" s="1" t="s">
        <v>643</v>
      </c>
      <c r="M9" s="85"/>
      <c r="O9" s="1" t="s">
        <v>643</v>
      </c>
      <c r="P9" s="85"/>
      <c r="S9" s="1" t="s">
        <v>643</v>
      </c>
      <c r="T9" s="85"/>
      <c r="W9" s="1" t="s">
        <v>643</v>
      </c>
      <c r="X9" s="85">
        <v>1E-3</v>
      </c>
      <c r="AA9" s="1" t="s">
        <v>643</v>
      </c>
      <c r="AB9" s="85"/>
      <c r="AE9" s="1" t="s">
        <v>643</v>
      </c>
      <c r="AF9" s="85"/>
      <c r="AI9" s="1" t="s">
        <v>643</v>
      </c>
      <c r="AJ9" s="85">
        <v>7.9000000000000001E-2</v>
      </c>
      <c r="AN9" s="85">
        <f>SUM(AN5:AN8)</f>
        <v>0.39400000000000002</v>
      </c>
    </row>
    <row r="10" spans="5:40" x14ac:dyDescent="0.2">
      <c r="F10" s="1" t="s">
        <v>644</v>
      </c>
      <c r="G10" s="85"/>
      <c r="I10" s="1" t="s">
        <v>644</v>
      </c>
      <c r="J10" s="85"/>
      <c r="L10" s="1" t="s">
        <v>644</v>
      </c>
      <c r="M10" s="85"/>
      <c r="O10" s="1" t="s">
        <v>644</v>
      </c>
      <c r="P10" s="85"/>
      <c r="S10" s="1" t="s">
        <v>644</v>
      </c>
      <c r="T10" s="85"/>
      <c r="W10" s="1" t="s">
        <v>644</v>
      </c>
      <c r="X10" s="85"/>
      <c r="AA10" s="1" t="s">
        <v>644</v>
      </c>
      <c r="AB10" s="85"/>
      <c r="AE10" s="1" t="s">
        <v>644</v>
      </c>
      <c r="AF10" s="85"/>
      <c r="AI10" s="1" t="s">
        <v>644</v>
      </c>
      <c r="AJ10" s="85">
        <v>6.0000000000000001E-3</v>
      </c>
    </row>
    <row r="11" spans="5:40" x14ac:dyDescent="0.2">
      <c r="G11" s="33">
        <f>SUM(G5:G9)</f>
        <v>0.70300000000000007</v>
      </c>
      <c r="J11" s="33">
        <f>SUM(J5:J9)</f>
        <v>0.80099999999999993</v>
      </c>
      <c r="M11" s="33">
        <f>SUM(M5:M9)</f>
        <v>0.501</v>
      </c>
      <c r="P11" s="33">
        <v>0.65</v>
      </c>
      <c r="T11" s="33">
        <f>SUM(T5:T9)</f>
        <v>0.53600000000000003</v>
      </c>
      <c r="X11" s="33">
        <f>SUM(X5:X9)</f>
        <v>0.46199999999999997</v>
      </c>
      <c r="AB11" s="33">
        <f>SUM(AB5:AB7)</f>
        <v>0.42899999999999994</v>
      </c>
      <c r="AF11" s="33">
        <v>0.52</v>
      </c>
      <c r="AJ11" s="85">
        <f>SUM(AJ5:AJ10)</f>
        <v>0.57599999999999996</v>
      </c>
    </row>
    <row r="15" spans="5:40" ht="15" x14ac:dyDescent="0.25">
      <c r="E15" s="144">
        <v>2020</v>
      </c>
      <c r="F15" s="144"/>
      <c r="G15" s="144"/>
      <c r="H15" s="305"/>
      <c r="I15" s="144">
        <f>E15+1</f>
        <v>2021</v>
      </c>
      <c r="J15" s="144"/>
      <c r="K15" s="144"/>
      <c r="L15" s="305"/>
      <c r="M15" s="144">
        <f>I15+1</f>
        <v>2022</v>
      </c>
      <c r="N15" s="144"/>
      <c r="O15" s="144"/>
      <c r="P15" s="305"/>
    </row>
    <row r="16" spans="5:40" ht="15" x14ac:dyDescent="0.25">
      <c r="E16" s="146" t="s">
        <v>77</v>
      </c>
      <c r="F16" s="146" t="s">
        <v>78</v>
      </c>
      <c r="G16" s="146" t="s">
        <v>79</v>
      </c>
      <c r="H16" s="229" t="s">
        <v>80</v>
      </c>
      <c r="I16" s="148" t="s">
        <v>77</v>
      </c>
      <c r="J16" s="146" t="s">
        <v>78</v>
      </c>
      <c r="K16" s="146" t="s">
        <v>79</v>
      </c>
      <c r="L16" s="229" t="s">
        <v>80</v>
      </c>
      <c r="M16" s="148" t="s">
        <v>77</v>
      </c>
      <c r="N16" s="146" t="s">
        <v>78</v>
      </c>
      <c r="O16" s="146" t="s">
        <v>79</v>
      </c>
      <c r="P16" s="229" t="s">
        <v>80</v>
      </c>
    </row>
    <row r="17" spans="4:16" ht="15" x14ac:dyDescent="0.25">
      <c r="E17" s="149">
        <v>43911</v>
      </c>
      <c r="F17" s="149">
        <v>44003</v>
      </c>
      <c r="G17" s="149">
        <v>44095</v>
      </c>
      <c r="H17" s="232">
        <v>44186</v>
      </c>
      <c r="I17" s="151">
        <v>44276</v>
      </c>
      <c r="J17" s="149">
        <v>44368</v>
      </c>
      <c r="K17" s="149">
        <v>44460</v>
      </c>
      <c r="L17" s="232">
        <v>44551</v>
      </c>
      <c r="M17" s="151">
        <v>44641</v>
      </c>
      <c r="N17" s="149">
        <v>44733</v>
      </c>
      <c r="O17" s="149">
        <v>44825</v>
      </c>
      <c r="P17" s="232">
        <v>44916</v>
      </c>
    </row>
    <row r="18" spans="4:16" x14ac:dyDescent="0.2">
      <c r="E18" s="152" t="s">
        <v>90</v>
      </c>
      <c r="F18" s="152" t="s">
        <v>90</v>
      </c>
      <c r="G18" s="152" t="s">
        <v>90</v>
      </c>
      <c r="H18" s="235" t="s">
        <v>90</v>
      </c>
      <c r="I18" s="154" t="s">
        <v>90</v>
      </c>
      <c r="J18" s="152" t="s">
        <v>90</v>
      </c>
      <c r="K18" s="152" t="s">
        <v>90</v>
      </c>
      <c r="L18" s="235" t="s">
        <v>90</v>
      </c>
      <c r="M18" s="154" t="s">
        <v>90</v>
      </c>
      <c r="N18" s="152" t="s">
        <v>90</v>
      </c>
      <c r="O18" s="152" t="s">
        <v>91</v>
      </c>
      <c r="P18" s="235" t="s">
        <v>91</v>
      </c>
    </row>
    <row r="20" spans="4:16" x14ac:dyDescent="0.2">
      <c r="D20" s="1" t="s">
        <v>654</v>
      </c>
      <c r="E20" s="85">
        <f>SUM(G5:G7)</f>
        <v>0.51600000000000001</v>
      </c>
      <c r="F20" s="85">
        <f>SUM(J5:J7)</f>
        <v>0.57399999999999995</v>
      </c>
      <c r="G20" s="85">
        <f>SUM(M5:M7)</f>
        <v>0.501</v>
      </c>
      <c r="I20" s="85">
        <f>SUM(T5:T7)</f>
        <v>0.48799999999999999</v>
      </c>
      <c r="J20" s="85">
        <f>SUM(X5:X7)</f>
        <v>0.39599999999999996</v>
      </c>
      <c r="K20" s="85">
        <f>SUM(AB5:AB7)</f>
        <v>0.42899999999999994</v>
      </c>
      <c r="M20" s="85">
        <f>SUM(AJ5:AJ7)</f>
        <v>0.39100000000000001</v>
      </c>
      <c r="N20" s="85">
        <f>SUM(AN5:AN7)</f>
        <v>0.32</v>
      </c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67</vt:i4>
      </vt:variant>
    </vt:vector>
  </HeadingPairs>
  <TitlesOfParts>
    <vt:vector size="67" baseType="lpstr">
      <vt:lpstr>Cover</vt:lpstr>
      <vt:lpstr>TSM (SHLS)</vt:lpstr>
      <vt:lpstr>Model&gt;&gt;</vt:lpstr>
      <vt:lpstr>BS</vt:lpstr>
      <vt:lpstr>IS</vt:lpstr>
      <vt:lpstr>CF</vt:lpstr>
      <vt:lpstr>TAM Builds</vt:lpstr>
      <vt:lpstr>Valuation Analysis&gt;&gt;</vt:lpstr>
      <vt:lpstr>DCF - 5 Year</vt:lpstr>
      <vt:lpstr>DCF - 10 Year</vt:lpstr>
      <vt:lpstr>WACC Analysis&gt;&gt;</vt:lpstr>
      <vt:lpstr>WACC</vt:lpstr>
      <vt:lpstr>Beta Determination</vt:lpstr>
      <vt:lpstr>PPT Outputs&gt;&gt;</vt:lpstr>
      <vt:lpstr>Price Volume Chart (SHLS)</vt:lpstr>
      <vt:lpstr>vs. Broker Consensus</vt:lpstr>
      <vt:lpstr>Financial Statements</vt:lpstr>
      <vt:lpstr>Market Share Output</vt:lpstr>
      <vt:lpstr>Comps&gt;&gt;</vt:lpstr>
      <vt:lpstr>Comparables Analysis</vt:lpstr>
      <vt:lpstr>Broker Estimates</vt:lpstr>
      <vt:lpstr>Comps Charts</vt:lpstr>
      <vt:lpstr>TSM Builds&gt;&gt;</vt:lpstr>
      <vt:lpstr>Solar Trackers&gt;&gt;</vt:lpstr>
      <vt:lpstr>TSM (Arctech)</vt:lpstr>
      <vt:lpstr>TSM (ARRY)</vt:lpstr>
      <vt:lpstr>TSM (Soltec)</vt:lpstr>
      <vt:lpstr>Solar Inverters&gt;&gt;</vt:lpstr>
      <vt:lpstr>TSM (ENPH)</vt:lpstr>
      <vt:lpstr>TSM (GNRC)</vt:lpstr>
      <vt:lpstr>TSM (SMTGY)</vt:lpstr>
      <vt:lpstr>TSM (SEDG)</vt:lpstr>
      <vt:lpstr>Solar Modules&gt;&gt;</vt:lpstr>
      <vt:lpstr>TSM (CSIQ)</vt:lpstr>
      <vt:lpstr>TSM (FSLR)</vt:lpstr>
      <vt:lpstr>TSM (JKS)</vt:lpstr>
      <vt:lpstr>TSM (MAXN)</vt:lpstr>
      <vt:lpstr>Industrial Tech Comps&gt;&gt;</vt:lpstr>
      <vt:lpstr>TSM (APH)</vt:lpstr>
      <vt:lpstr>TSM (ETN)</vt:lpstr>
      <vt:lpstr>TSM (TEL)</vt:lpstr>
      <vt:lpstr>Shoals Bamsec Actuals&gt;&gt;</vt:lpstr>
      <vt:lpstr>IS&gt;&gt;</vt:lpstr>
      <vt:lpstr>IS FY21</vt:lpstr>
      <vt:lpstr>IS 1Q21</vt:lpstr>
      <vt:lpstr>IS 2Q21</vt:lpstr>
      <vt:lpstr>IS 3Q21</vt:lpstr>
      <vt:lpstr>IS 1Q22</vt:lpstr>
      <vt:lpstr>IS 2Q22</vt:lpstr>
      <vt:lpstr>BS&gt;&gt;</vt:lpstr>
      <vt:lpstr>BS FY18-20</vt:lpstr>
      <vt:lpstr>BS 1Q21</vt:lpstr>
      <vt:lpstr>BS 2Q21</vt:lpstr>
      <vt:lpstr>BS 3Q21</vt:lpstr>
      <vt:lpstr>BS FY21</vt:lpstr>
      <vt:lpstr>BS 1Q22</vt:lpstr>
      <vt:lpstr>BS 2Q22</vt:lpstr>
      <vt:lpstr>CF&gt;&gt;</vt:lpstr>
      <vt:lpstr>CF FY18-20</vt:lpstr>
      <vt:lpstr>CF 1Q21</vt:lpstr>
      <vt:lpstr>CF 2Q21</vt:lpstr>
      <vt:lpstr>CF 3Q21</vt:lpstr>
      <vt:lpstr>CF FY21</vt:lpstr>
      <vt:lpstr>CF 1Q22</vt:lpstr>
      <vt:lpstr>CF 2Q22</vt:lpstr>
      <vt:lpstr>Other Notes</vt:lpstr>
      <vt:lpstr>Customer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schmitt</dc:creator>
  <cp:lastModifiedBy>eric schmitt</cp:lastModifiedBy>
  <dcterms:created xsi:type="dcterms:W3CDTF">2022-10-26T09:07:11Z</dcterms:created>
  <dcterms:modified xsi:type="dcterms:W3CDTF">2022-11-01T07:13:38Z</dcterms:modified>
</cp:coreProperties>
</file>